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15.xml" ContentType="application/vnd.openxmlformats-officedocument.spreadsheetml.worksheet+xml"/>
  <Override PartName="/xl/worksheets/sheet3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6.xml" ContentType="application/vnd.openxmlformats-officedocument.spreadsheetml.worksheet+xml"/>
  <Override PartName="/xl/worksheets/sheet1.xml" ContentType="application/vnd.openxmlformats-officedocument.spreadsheetml.worksheet+xml"/>
  <Override PartName="/xl/worksheets/sheet11.xml" ContentType="application/vnd.openxmlformats-officedocument.spreadsheetml.worksheet+xml"/>
  <Override PartName="/xl/worksheets/sheet9.xml" ContentType="application/vnd.openxmlformats-officedocument.spreadsheetml.worksheet+xml"/>
  <Override PartName="/xl/worksheets/sheet12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Cover" sheetId="1" state="visible" r:id="rId3"/>
    <sheet name="Assumptions" sheetId="2" state="visible" r:id="rId4"/>
    <sheet name="Revenue" sheetId="3" state="visible" r:id="rId5"/>
    <sheet name="CostToServe" sheetId="4" state="visible" r:id="rId6"/>
    <sheet name="Villas_Detail" sheetId="5" state="visible" r:id="rId7"/>
    <sheet name="Guest_Group_Detail" sheetId="6" state="visible" r:id="rId8"/>
    <sheet name="Activities_Menu" sheetId="7" state="visible" r:id="rId9"/>
    <sheet name="CapEx" sheetId="8" state="visible" r:id="rId10"/>
    <sheet name="PnL" sheetId="9" state="visible" r:id="rId11"/>
    <sheet name="CashFlow" sheetId="10" state="visible" r:id="rId12"/>
    <sheet name="Funding" sheetId="11" state="visible" r:id="rId13"/>
    <sheet name="Investor_Returns" sheetId="12" state="visible" r:id="rId14"/>
    <sheet name="Valuation" sheetId="13" state="visible" r:id="rId15"/>
    <sheet name="Scenarios" sheetId="14" state="visible" r:id="rId16"/>
    <sheet name="Checks" sheetId="15" state="visible" r:id="rId1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<sst xmlns="http://schemas.openxmlformats.org/spreadsheetml/2006/main" count="510" uniqueCount="482">
  <si>
    <t xml:space="preserve">AWAKEN SANCTUARY — FINANCIAL MODEL (v0.3)</t>
  </si>
  <si>
    <t xml:space="preserve">Conservation-tourism research-lodge · Santa Clara de Ojeal, Loreto, Peru · bottom-up · 2026-06-24</t>
  </si>
  <si>
    <t xml:space="preserve">CAPITAL</t>
  </si>
  <si>
    <t xml:space="preserve">Already raised (45 participants)</t>
  </si>
  <si>
    <t xml:space="preserve">New raise sought</t>
  </si>
  <si>
    <t xml:space="preserve">KEY METRICS (stabilized, 2031)</t>
  </si>
  <si>
    <t xml:space="preserve">Stabilized revenue</t>
  </si>
  <si>
    <t xml:space="preserve">Stabilized EBITDA</t>
  </si>
  <si>
    <t xml:space="preserve">EBITDA margin</t>
  </si>
  <si>
    <t xml:space="preserve">DCF enterprise value</t>
  </si>
  <si>
    <t xml:space="preserve">EV @ chosen multiple</t>
  </si>
  <si>
    <t xml:space="preserve">Asset/replacement floor</t>
  </si>
  <si>
    <t xml:space="preserve">THE ASSET</t>
  </si>
  <si>
    <t xml:space="preserve">24 ha titled · 35 villas/rooms (per model) · max 76 guests · 3,782 m² built</t>
  </si>
  <si>
    <t xml:space="preserve">Restaurant 220 m² · kitchen · Gathering/Conference hall 200 m² · Yoga hall 180 m² · SPA · Tree platform</t>
  </si>
  <si>
    <t xml:space="preserve">Solar + generator · water filtration + 2.5 ha reservoirs · Starlink · helipad · 3 security gates · staff housing</t>
  </si>
  <si>
    <t xml:space="preserve">AWAKEN Resort S.A.C. + AWAKEN Construction S.A.C. · tourism license · Ley 27037 (5% tax)</t>
  </si>
  <si>
    <t xml:space="preserve">TRACTION / VALIDATION (proof of demand)</t>
  </si>
  <si>
    <t xml:space="preserve">Operated Dec 2023 – 2024: 96+ guests from 15+ countries (incl. a 20-person retreat).</t>
  </si>
  <si>
    <t xml:space="preserve">Premium nightly rates achieved before extreme climate events (storms/drought/hurricanes) forced closure.</t>
  </si>
  <si>
    <t xml:space="preserve">Lost staff &amp; booking flow during the forced shutdown; this raise restarts the proven operation.</t>
  </si>
  <si>
    <t xml:space="preserve">2026 PLAN — CLOSED YEAR: capital raised + all repairs (CapEx) done; NO revenue. OPEX 2026 = minimum maintenance ($4,576/mo x5, Aug-Dec = $22,880) + marketing ($50,000 to enable the 2027 launch) = $72,880. RE-OPENS 2027.</t>
  </si>
  <si>
    <t xml:space="preserve">CONTENTS</t>
  </si>
  <si>
    <t xml:space="preserve">1.  Assumptions (edit here)</t>
  </si>
  <si>
    <t xml:space="preserve">2.  Revenue</t>
  </si>
  <si>
    <t xml:space="preserve">3.  CostToServe (annual + monthly detail)</t>
  </si>
  <si>
    <t xml:space="preserve">4.  Villas_Detail</t>
  </si>
  <si>
    <t xml:space="preserve">5.  Guest_Group_Detail</t>
  </si>
  <si>
    <t xml:space="preserve">6.  Activities_Menu</t>
  </si>
  <si>
    <t xml:space="preserve">7.  CapEx &amp; Depreciation</t>
  </si>
  <si>
    <t xml:space="preserve">8.  PnL</t>
  </si>
  <si>
    <t xml:space="preserve">9.  CashFlow &amp; Runway</t>
  </si>
  <si>
    <t xml:space="preserve">10.  Funding &amp; The Offer</t>
  </si>
  <si>
    <t xml:space="preserve">11.  Investor Returns (MOIC/IRR)</t>
  </si>
  <si>
    <t xml:space="preserve">12.  Valuation (4 lenses)</t>
  </si>
  <si>
    <t xml:space="preserve">13.  Scenarios</t>
  </si>
  <si>
    <t xml:space="preserve">14.  Checks</t>
  </si>
  <si>
    <t xml:space="preserve">AWAKEN SANCTUARY — ASSUMPTIONS (v0.3, bottom-up)</t>
  </si>
  <si>
    <t xml:space="preserve">Built from real expense + cap-table data + Founder decisions. Blue=input · Green=from detail sheet · Black=formula.</t>
  </si>
  <si>
    <t xml:space="preserve">A. MACRO / FX / TAX / VALUATION</t>
  </si>
  <si>
    <t xml:space="preserve">Income tax (Ley 27037)</t>
  </si>
  <si>
    <t xml:space="preserve">5% + IGV exempt</t>
  </si>
  <si>
    <t xml:space="preserve">FX PEN/USD</t>
  </si>
  <si>
    <t xml:space="preserve">rate from expense file</t>
  </si>
  <si>
    <t xml:space="preserve">Inflation USD</t>
  </si>
  <si>
    <t xml:space="preserve">Inflation PEN</t>
  </si>
  <si>
    <t xml:space="preserve">Discount rate (DCF)</t>
  </si>
  <si>
    <t xml:space="preserve">Cap rate (valuation)</t>
  </si>
  <si>
    <t xml:space="preserve">Price escalation /yr</t>
  </si>
  <si>
    <t xml:space="preserve">Valuation multiple (EV/EBITDA)</t>
  </si>
  <si>
    <t xml:space="preserve">applied to stabilized EBITDA</t>
  </si>
  <si>
    <t xml:space="preserve">Entry pre-money — TODAY ($)</t>
  </si>
  <si>
    <t xml:space="preserve">≈ invested/book; damaged-closed asset; negotiable to asset floor $4.6M; NOT post-restart DCF</t>
  </si>
  <si>
    <t xml:space="preserve">Dividend payout (% of net income)</t>
  </si>
  <si>
    <t xml:space="preserve">share of profit distributed; rest retained</t>
  </si>
  <si>
    <t xml:space="preserve">Dividends start year</t>
  </si>
  <si>
    <t xml:space="preserve">after Phase 2/3 capex; Resolution: not before 2027</t>
  </si>
  <si>
    <t xml:space="preserve">B. CAPACITY &amp; ROOM MIX (real; villa RENTAL price only — no meals)</t>
  </si>
  <si>
    <t xml:space="preserve">Category</t>
  </si>
  <si>
    <t xml:space="preserve">Rooms</t>
  </si>
  <si>
    <t xml:space="preserve">$/night</t>
  </si>
  <si>
    <t xml:space="preserve">People/room</t>
  </si>
  <si>
    <t xml:space="preserve">Room in Apart Hotel</t>
  </si>
  <si>
    <t xml:space="preserve">Jungle villa</t>
  </si>
  <si>
    <t xml:space="preserve">Lake/River villa</t>
  </si>
  <si>
    <t xml:space="preserve">Deluxe villa</t>
  </si>
  <si>
    <t xml:space="preserve">SPA villa</t>
  </si>
  <si>
    <t xml:space="preserve">Tree house</t>
  </si>
  <si>
    <t xml:space="preserve">Total rooms</t>
  </si>
  <si>
    <t xml:space="preserve">Max guest capacity (people)</t>
  </si>
  <si>
    <t xml:space="preserve">resort max at full villas</t>
  </si>
  <si>
    <t xml:space="preserve">Full-occupancy villa rental ($/day)</t>
  </si>
  <si>
    <t xml:space="preserve">blended rental at 100%</t>
  </si>
  <si>
    <t xml:space="preserve">Avg guests per occupied room</t>
  </si>
  <si>
    <t xml:space="preserve">party size (≤ max capacity)</t>
  </si>
  <si>
    <t xml:space="preserve">Avg length of stay (nights)</t>
  </si>
  <si>
    <t xml:space="preserve">week-long stays; used for one-time cost</t>
  </si>
  <si>
    <t xml:space="preserve">Built area (m2)</t>
  </si>
  <si>
    <t xml:space="preserve">Land (ha, SUNARP)</t>
  </si>
  <si>
    <t xml:space="preserve">~35 ha operational</t>
  </si>
  <si>
    <t xml:space="preserve">C. REVENUE INPUTS  (the prices/volumes that drive income)</t>
  </si>
  <si>
    <t xml:space="preserve">Income = villa rental (above) + F&amp;B + activities + episodic buyout + research/grants. Occupancy ramp in §F.</t>
  </si>
  <si>
    <t xml:space="preserve">F&amp;B price ($/guest/day)</t>
  </si>
  <si>
    <t xml:space="preserve">food sold to guests (COGS 80 soles in detail)</t>
  </si>
  <si>
    <t xml:space="preserve">Activities ($/guest-night, avg)</t>
  </si>
  <si>
    <t xml:space="preserve">avg à-la-carte attach; menu in Activities_Menu</t>
  </si>
  <si>
    <t xml:space="preserve">Buyout days / yr (episodic)</t>
  </si>
  <si>
    <t xml:space="preserve">Buyout rate ($/day)</t>
  </si>
  <si>
    <t xml:space="preserve">full-territory buyout</t>
  </si>
  <si>
    <t xml:space="preserve">Research + small grants ($/yr)</t>
  </si>
  <si>
    <t xml:space="preserve">moderate; GEF SGP/foundations</t>
  </si>
  <si>
    <t xml:space="preserve">D. OPEX — other inputs (staff/maintenance derive from CostToServe detail)</t>
  </si>
  <si>
    <t xml:space="preserve">Community payments ($/yr)</t>
  </si>
  <si>
    <t xml:space="preserve">$500/mo</t>
  </si>
  <si>
    <t xml:space="preserve">Insurance ($/yr)</t>
  </si>
  <si>
    <t xml:space="preserve">placeholder — confirm</t>
  </si>
  <si>
    <t xml:space="preserve">Marketing &amp; sales budget ($/yr)</t>
  </si>
  <si>
    <t xml:space="preserve">ads/content/PR/travel-trade — ongoing; SEPARATE from OTA &amp; mktg-manager salary</t>
  </si>
  <si>
    <t xml:space="preserve">OTA / distribution (% room rev)</t>
  </si>
  <si>
    <t xml:space="preserve">Booking/Airbnb</t>
  </si>
  <si>
    <t xml:space="preserve">Activities COGS (% of activities rev)</t>
  </si>
  <si>
    <t xml:space="preserve">blended from Activities_Menu margins</t>
  </si>
  <si>
    <t xml:space="preserve">IT / software / Starlink / booking ($/yr)</t>
  </si>
  <si>
    <t xml:space="preserve">reservation system + Starlink + software</t>
  </si>
  <si>
    <t xml:space="preserve">Property tax &amp; licenses ($/yr)</t>
  </si>
  <si>
    <t xml:space="preserve">predial + tourism license renewals</t>
  </si>
  <si>
    <t xml:space="preserve">Professional fees — legal/audit ($/yr)</t>
  </si>
  <si>
    <t xml:space="preserve">beyond bookkeeper</t>
  </si>
  <si>
    <t xml:space="preserve">Staff training &amp; uniforms ($/yr)</t>
  </si>
  <si>
    <t xml:space="preserve">high-touch service + rotation staff</t>
  </si>
  <si>
    <t xml:space="preserve">Payment processing (% of revenue)</t>
  </si>
  <si>
    <t xml:space="preserve">card fees; net of OTA-collected bookings</t>
  </si>
  <si>
    <t xml:space="preserve">E. DEPRECIATION / WORKING CAPITAL / FINANCING</t>
  </si>
  <si>
    <t xml:space="preserve">Depreciation = the asset cost spread over its useful life (a non-cash accounting expense). Jungle wood</t>
  </si>
  <si>
    <t xml:space="preserve">ages fast → 15-yr life; physical wear is handled by the every-2-yr major maintenance in CapEx.</t>
  </si>
  <si>
    <t xml:space="preserve">Buildings / asset life (yrs)</t>
  </si>
  <si>
    <t xml:space="preserve">wooden jungle build — fast</t>
  </si>
  <si>
    <t xml:space="preserve">New-CapEx life (yrs)</t>
  </si>
  <si>
    <t xml:space="preserve">DSO (days)</t>
  </si>
  <si>
    <t xml:space="preserve">DPO (days)</t>
  </si>
  <si>
    <t xml:space="preserve">Already-raised capital (book base)</t>
  </si>
  <si>
    <t xml:space="preserve">45 participants; Resort + Construction SAC</t>
  </si>
  <si>
    <t xml:space="preserve">New raise sought ($)</t>
  </si>
  <si>
    <t xml:space="preserve">phased Phase 1-3; convertible</t>
  </si>
  <si>
    <t xml:space="preserve">Operating capital in raise (not CapEx)</t>
  </si>
  <si>
    <t xml:space="preserve">Phase 1 working capital for restart opex</t>
  </si>
  <si>
    <t xml:space="preserve">Climate contingency reserve ($)</t>
  </si>
  <si>
    <t xml:space="preserve">min cash buffer for storm damage (uninsured)</t>
  </si>
  <si>
    <t xml:space="preserve">Equity tranche — restart ($)</t>
  </si>
  <si>
    <t xml:space="preserve">deployed first as EQUITY; rest = convertible standby</t>
  </si>
  <si>
    <t xml:space="preserve">Convertible cap ($)</t>
  </si>
  <si>
    <t xml:space="preserve">~ post-restart DCF; conversion ceiling; finalize w/ counsel</t>
  </si>
  <si>
    <t xml:space="preserve">Convertible discount (%)</t>
  </si>
  <si>
    <t xml:space="preserve">discount to conversion price</t>
  </si>
  <si>
    <t xml:space="preserve">F. RAMP (year-varying inputs)</t>
  </si>
  <si>
    <t xml:space="preserve">2026 = CLOSED (raise + repairs only, no revenue); reopen 2027</t>
  </si>
  <si>
    <t xml:space="preserve">Minimum maintenance while closed ($/month, Aug-Dec 2026)</t>
  </si>
  <si>
    <t xml:space="preserve">Occupancy (%)</t>
  </si>
  <si>
    <t xml:space="preserve">Staffing / ops factor (%)</t>
  </si>
  <si>
    <t xml:space="preserve">G. INFRASTRUCTURE — what already exists (informational)</t>
  </si>
  <si>
    <t xml:space="preserve">24 ha SUNARP-titled (~35 ha operational) · 35 villas/rooms (model) · 3,782 m² built · max 76 guests</t>
  </si>
  <si>
    <t xml:space="preserve">Restaurant 220 m² · full kitchen · Gathering/Conference hall 200 m² · Yoga hall 180 m² · SPA · Tree platform</t>
  </si>
  <si>
    <t xml:space="preserve">Water: filtration + 2.5 ha reservoirs · Solar power + generator backup · Starlink · Helipad · 3 security gates · staff housing</t>
  </si>
  <si>
    <t xml:space="preserve">Entities: AWAKEN Resort S.A.C. (#11151427) + AWAKEN Construction S.A.C. (#11137448) · Tourism license · Ley 27037</t>
  </si>
  <si>
    <t xml:space="preserve">REVENUE  ($)</t>
  </si>
  <si>
    <t xml:space="preserve">Villa rental revenue</t>
  </si>
  <si>
    <t xml:space="preserve">Guest-nights</t>
  </si>
  <si>
    <t xml:space="preserve">F&amp;B revenue</t>
  </si>
  <si>
    <t xml:space="preserve">Activities revenue</t>
  </si>
  <si>
    <t xml:space="preserve">Buyout (episodic)</t>
  </si>
  <si>
    <t xml:space="preserve">Research + grants</t>
  </si>
  <si>
    <t xml:space="preserve">TOTAL REVENUE</t>
  </si>
  <si>
    <t xml:space="preserve">2026 = pre-operating (repair + hire/train); revenue begins 2027.</t>
  </si>
  <si>
    <t xml:space="preserve">COST-TO-SERVE  ($)</t>
  </si>
  <si>
    <t xml:space="preserve">Staffing / ops factor</t>
  </si>
  <si>
    <t xml:space="preserve">Salaries (staff roster)</t>
  </si>
  <si>
    <t xml:space="preserve">Maintenance (materials/road/pools/territory/energy)</t>
  </si>
  <si>
    <t xml:space="preserve">Personnel food &amp; travel</t>
  </si>
  <si>
    <t xml:space="preserve">Community</t>
  </si>
  <si>
    <t xml:space="preserve">Insurance</t>
  </si>
  <si>
    <t xml:space="preserve">IT / software / Starlink / booking system</t>
  </si>
  <si>
    <t xml:space="preserve">Property tax &amp; licenses</t>
  </si>
  <si>
    <t xml:space="preserve">Professional fees (legal / audit)</t>
  </si>
  <si>
    <t xml:space="preserve">Staff training &amp; uniforms</t>
  </si>
  <si>
    <t xml:space="preserve">Marketing &amp; sales (2026 = $50k launch budget)</t>
  </si>
  <si>
    <t xml:space="preserve">Meals COGS</t>
  </si>
  <si>
    <t xml:space="preserve">Activities COGS</t>
  </si>
  <si>
    <t xml:space="preserve">Payment processing fees</t>
  </si>
  <si>
    <t xml:space="preserve">One-time per guest</t>
  </si>
  <si>
    <t xml:space="preserve">OTA / distribution</t>
  </si>
  <si>
    <t xml:space="preserve">TOTAL COST-TO-SERVE</t>
  </si>
  <si>
    <t xml:space="preserve">MONTHLY DETAIL — full operations (real; SOL → USD @ FX)</t>
  </si>
  <si>
    <t xml:space="preserve">Item</t>
  </si>
  <si>
    <t xml:space="preserve">Count</t>
  </si>
  <si>
    <t xml:space="preserve">SOL/unit</t>
  </si>
  <si>
    <t xml:space="preserve">SOL total</t>
  </si>
  <si>
    <t xml:space="preserve">USD total</t>
  </si>
  <si>
    <t xml:space="preserve">Salaries</t>
  </si>
  <si>
    <t xml:space="preserve">Supervisor</t>
  </si>
  <si>
    <t xml:space="preserve">incl. all Lima–Iquitos–Lima trips 1×/mo · ≈$5,000/mo</t>
  </si>
  <si>
    <t xml:space="preserve">General Manager</t>
  </si>
  <si>
    <t xml:space="preserve">rotation 2-wk (different people) · ≈$4,000/mo</t>
  </si>
  <si>
    <t xml:space="preserve">Administrator</t>
  </si>
  <si>
    <t xml:space="preserve">rotation 2-wk · ≈$2,500/mo</t>
  </si>
  <si>
    <t xml:space="preserve">Guest manager</t>
  </si>
  <si>
    <t xml:space="preserve">rotation basis</t>
  </si>
  <si>
    <t xml:space="preserve">Marketing manager</t>
  </si>
  <si>
    <t xml:space="preserve">Guest manager assistant</t>
  </si>
  <si>
    <t xml:space="preserve">English-speaking translator; joins excursions [est.]</t>
  </si>
  <si>
    <t xml:space="preserve">Guide — Amazon bioeconomy</t>
  </si>
  <si>
    <t xml:space="preserve">weekly visit ~4 days/mo; incl. assistant + program · ≈$500/mo</t>
  </si>
  <si>
    <t xml:space="preserve">Guide — flora &amp; fauna (university professor/ecologist)</t>
  </si>
  <si>
    <t xml:space="preserve">weekly; incl. assistant · ≈$500/mo</t>
  </si>
  <si>
    <t xml:space="preserve">Guide — indigenous communities</t>
  </si>
  <si>
    <t xml:space="preserve">Guide — Survival Camp (2-day)</t>
  </si>
  <si>
    <t xml:space="preserve">2 days/visit ~8 days/mo; incl. assistant · ≈$1,000/mo</t>
  </si>
  <si>
    <t xml:space="preserve">Cook</t>
  </si>
  <si>
    <t xml:space="preserve">Cook assistance</t>
  </si>
  <si>
    <t xml:space="preserve">Maintenance manager</t>
  </si>
  <si>
    <t xml:space="preserve">≈$800/mo</t>
  </si>
  <si>
    <t xml:space="preserve">Maintenance team</t>
  </si>
  <si>
    <t xml:space="preserve">Cleaning personnel</t>
  </si>
  <si>
    <t xml:space="preserve">Cargueros</t>
  </si>
  <si>
    <t xml:space="preserve">Guards</t>
  </si>
  <si>
    <t xml:space="preserve">Bookkeeper</t>
  </si>
  <si>
    <t xml:space="preserve">Salaries subtotal</t>
  </si>
  <si>
    <t xml:space="preserve">Maintenance</t>
  </si>
  <si>
    <t xml:space="preserve">Materials</t>
  </si>
  <si>
    <t xml:space="preserve">Entrance road maintenance</t>
  </si>
  <si>
    <t xml:space="preserve">≈$1,000/mo</t>
  </si>
  <si>
    <t xml:space="preserve">Pools maintenance</t>
  </si>
  <si>
    <t xml:space="preserve">≈$600/mo</t>
  </si>
  <si>
    <t xml:space="preserve">Territory &amp; grounds upkeep (resort + private reserve)</t>
  </si>
  <si>
    <t xml:space="preserve">≈$2,000/mo</t>
  </si>
  <si>
    <t xml:space="preserve">Energy / gasoline for light</t>
  </si>
  <si>
    <t xml:space="preserve">Waste management</t>
  </si>
  <si>
    <t xml:space="preserve">trash/recycling</t>
  </si>
  <si>
    <t xml:space="preserve">Maintenance subtotal</t>
  </si>
  <si>
    <t xml:space="preserve">Other</t>
  </si>
  <si>
    <t xml:space="preserve">Food for personnel</t>
  </si>
  <si>
    <t xml:space="preserve">Travel for personnel</t>
  </si>
  <si>
    <t xml:space="preserve">Other subtotal</t>
  </si>
  <si>
    <t xml:space="preserve">MONTHLY TOTAL (operating)</t>
  </si>
  <si>
    <t xml:space="preserve">MINIMUM MAINTENANCE — idle/closed (reference)</t>
  </si>
  <si>
    <t xml:space="preserve">Guard</t>
  </si>
  <si>
    <t xml:space="preserve">Maintenance of territory</t>
  </si>
  <si>
    <t xml:space="preserve">Maintenance of entrance road</t>
  </si>
  <si>
    <t xml:space="preserve">Maintenance materials</t>
  </si>
  <si>
    <t xml:space="preserve">Gasoline for light</t>
  </si>
  <si>
    <t xml:space="preserve">Minimum maintenance subtotal</t>
  </si>
  <si>
    <t xml:space="preserve">monthly run-rate to keep the property alive while closed (guards, basic upkeep, bookkeeper, fuel)</t>
  </si>
  <si>
    <t xml:space="preserve">VILLAS — CAPACITY, RENTAL PRICE &amp; MONTHLY REVENUE BY OCCUPANCY</t>
  </si>
  <si>
    <t xml:space="preserve">Max ppl</t>
  </si>
  <si>
    <t xml:space="preserve">20%</t>
  </si>
  <si>
    <t xml:space="preserve">30%</t>
  </si>
  <si>
    <t xml:space="preserve">40%</t>
  </si>
  <si>
    <t xml:space="preserve">50%</t>
  </si>
  <si>
    <t xml:space="preserve">60%</t>
  </si>
  <si>
    <t xml:space="preserve">TOTAL</t>
  </si>
  <si>
    <t xml:space="preserve">Villa RENTAL price only — excludes meals ($80/guest/day) and activities (separate revenue lines). Max capacity = 76 guests.</t>
  </si>
  <si>
    <t xml:space="preserve">PER-GUEST &amp; GROUP DETAIL (real)</t>
  </si>
  <si>
    <t xml:space="preserve">ONE-TIME PER GUEST — per 7-day stay (SOL → USD @ FX)</t>
  </si>
  <si>
    <t xml:space="preserve">SOL</t>
  </si>
  <si>
    <t xml:space="preserve">USD</t>
  </si>
  <si>
    <t xml:space="preserve">Logistics / transfers</t>
  </si>
  <si>
    <t xml:space="preserve">Transfer Airport-Nanay</t>
  </si>
  <si>
    <t xml:space="preserve">Transfer Nanay-Santa Clara</t>
  </si>
  <si>
    <t xml:space="preserve">Cargueros Santa Clara-AWAKEN</t>
  </si>
  <si>
    <t xml:space="preserve">Cargueros AWAKEN-Santa Clara</t>
  </si>
  <si>
    <t xml:space="preserve">Transfer Santa Clara-Nanay</t>
  </si>
  <si>
    <t xml:space="preserve">Transfer Nanay-Airport</t>
  </si>
  <si>
    <t xml:space="preserve">Logistics subtotal</t>
  </si>
  <si>
    <t xml:space="preserve">Decor &amp; welcome package</t>
  </si>
  <si>
    <t xml:space="preserve">Candles (3 big)</t>
  </si>
  <si>
    <t xml:space="preserve">Metal plates for altar</t>
  </si>
  <si>
    <t xml:space="preserve">Lighter</t>
  </si>
  <si>
    <t xml:space="preserve">Palo santo / incense</t>
  </si>
  <si>
    <t xml:space="preserve">Flashlight</t>
  </si>
  <si>
    <t xml:space="preserve">Raincoat</t>
  </si>
  <si>
    <t xml:space="preserve">Boots</t>
  </si>
  <si>
    <t xml:space="preserve">Repellent</t>
  </si>
  <si>
    <t xml:space="preserve">Towel</t>
  </si>
  <si>
    <t xml:space="preserve">Flowers</t>
  </si>
  <si>
    <t xml:space="preserve">Agua florida</t>
  </si>
  <si>
    <t xml:space="preserve">Woolen blanket</t>
  </si>
  <si>
    <t xml:space="preserve">Mapachos</t>
  </si>
  <si>
    <t xml:space="preserve">Pack &amp; deliver welcome package</t>
  </si>
  <si>
    <t xml:space="preserve">Decor &amp; welcome subtotal</t>
  </si>
  <si>
    <t xml:space="preserve">Hygiene</t>
  </si>
  <si>
    <t xml:space="preserve">Soap</t>
  </si>
  <si>
    <t xml:space="preserve">Shampoo</t>
  </si>
  <si>
    <t xml:space="preserve">Toilet paper</t>
  </si>
  <si>
    <t xml:space="preserve">Garbage bags</t>
  </si>
  <si>
    <t xml:space="preserve">Ear sticks &amp; cotton</t>
  </si>
  <si>
    <t xml:space="preserve">Menthol / rosewood (bites)</t>
  </si>
  <si>
    <t xml:space="preserve">Hygiene subtotal</t>
  </si>
  <si>
    <t xml:space="preserve">Cleaning &amp; service</t>
  </si>
  <si>
    <t xml:space="preserve">Cleaning &amp; preparing villa before arrival</t>
  </si>
  <si>
    <t xml:space="preserve">Cleaning supplies</t>
  </si>
  <si>
    <t xml:space="preserve">Cleaning subtotal</t>
  </si>
  <si>
    <t xml:space="preserve">ONE-TIME PER GUEST — TOTAL (per 7-day stay)</t>
  </si>
  <si>
    <t xml:space="preserve">DAILY PER GUEST</t>
  </si>
  <si>
    <t xml:space="preserve">Meals — 3/day with delivery (COGS)</t>
  </si>
  <si>
    <t xml:space="preserve">sold at $80/guest/day (revenue)</t>
  </si>
  <si>
    <t xml:space="preserve">GROUP STAFFING (extra, for buyout; SOL by stay length)</t>
  </si>
  <si>
    <t xml:space="preserve">Role</t>
  </si>
  <si>
    <t xml:space="preserve">3D</t>
  </si>
  <si>
    <t xml:space="preserve">5D</t>
  </si>
  <si>
    <t xml:space="preserve">7D</t>
  </si>
  <si>
    <t xml:space="preserve">14D</t>
  </si>
  <si>
    <t xml:space="preserve">30D</t>
  </si>
  <si>
    <t xml:space="preserve">General manager</t>
  </si>
  <si>
    <t xml:space="preserve">Guide</t>
  </si>
  <si>
    <t xml:space="preserve">Cook assistant</t>
  </si>
  <si>
    <t xml:space="preserve">Cleaning, 2pax</t>
  </si>
  <si>
    <t xml:space="preserve">ACTIVITIES MENU — COST · SALE · MARGIN (real)</t>
  </si>
  <si>
    <t xml:space="preserve">Note: jungle day/night tours are included in the core program; below are à-la-carte add-ons. More to be added.</t>
  </si>
  <si>
    <t xml:space="preserve">Service</t>
  </si>
  <si>
    <t xml:space="preserve">Cost SOL</t>
  </si>
  <si>
    <t xml:space="preserve">Sale SOL</t>
  </si>
  <si>
    <t xml:space="preserve">Sale USD</t>
  </si>
  <si>
    <t xml:space="preserve">Margin</t>
  </si>
  <si>
    <t xml:space="preserve">Basis</t>
  </si>
  <si>
    <t xml:space="preserve">EXCURSIONS  (more to be added)</t>
  </si>
  <si>
    <t xml:space="preserve">Dolphins + Lupuma tree + Serpentario</t>
  </si>
  <si>
    <t xml:space="preserve">per person</t>
  </si>
  <si>
    <t xml:space="preserve">CEREMONIES — THIRD-PARTY (practitioner-run; licenses &amp; liability theirs; AWAKEN ~20% referral)</t>
  </si>
  <si>
    <t xml:space="preserve">Ceremony</t>
  </si>
  <si>
    <t xml:space="preserve">Price SOL</t>
  </si>
  <si>
    <t xml:space="preserve">AWAKEN referral USD (20%)</t>
  </si>
  <si>
    <t xml:space="preserve">Plant bath</t>
  </si>
  <si>
    <t xml:space="preserve">referral; liability with practitioner</t>
  </si>
  <si>
    <t xml:space="preserve">Rapé</t>
  </si>
  <si>
    <t xml:space="preserve">Kambo</t>
  </si>
  <si>
    <t xml:space="preserve">Wachuma</t>
  </si>
  <si>
    <t xml:space="preserve">Ayahuasca</t>
  </si>
  <si>
    <t xml:space="preserve">WELLNESS (in-house)</t>
  </si>
  <si>
    <t xml:space="preserve">Massage</t>
  </si>
  <si>
    <t xml:space="preserve">per session</t>
  </si>
  <si>
    <t xml:space="preserve">Yoga</t>
  </si>
  <si>
    <t xml:space="preserve">Sound Healing</t>
  </si>
  <si>
    <t xml:space="preserve">per ceremony (max 4)</t>
  </si>
  <si>
    <t xml:space="preserve">CAPEX, MAJOR MAINTENANCE &amp; DEPRECIATION  ($)</t>
  </si>
  <si>
    <t xml:space="preserve">Development CapEx (phased; = the raise)</t>
  </si>
  <si>
    <t xml:space="preserve">2026 = repairs only ($270k); Ph2/3 (conservation/growth) 2027-29. CapEx $2.19M + $150k op.capital = $2.34M raise</t>
  </si>
  <si>
    <t xml:space="preserve">Major maintenance (every 2 yrs)</t>
  </si>
  <si>
    <t xml:space="preserve">roofs $40k+batteries $15k+repaint $10k+septic $6k+linens $10k+décor $10k = $91k</t>
  </si>
  <si>
    <t xml:space="preserve">TOTAL CapEx (cash)</t>
  </si>
  <si>
    <t xml:space="preserve">Cumulative development CapEx</t>
  </si>
  <si>
    <t xml:space="preserve">Depreciation — existing base</t>
  </si>
  <si>
    <t xml:space="preserve">Depreciation — new CapEx</t>
  </si>
  <si>
    <t xml:space="preserve">TOTAL DEPRECIATION</t>
  </si>
  <si>
    <t xml:space="preserve">MAJOR-MAINTENANCE ITEMS (every 2 yrs)</t>
  </si>
  <si>
    <t xml:space="preserve">Roof restoration</t>
  </si>
  <si>
    <t xml:space="preserve">Solar battery replacement</t>
  </si>
  <si>
    <t xml:space="preserve">Repaint buildings</t>
  </si>
  <si>
    <t xml:space="preserve">Septic clean/replace</t>
  </si>
  <si>
    <t xml:space="preserve">Bed linens &amp; textiles replacement</t>
  </si>
  <si>
    <t xml:space="preserve">Décor elements replacement</t>
  </si>
  <si>
    <t xml:space="preserve">Subtotal (per cycle)</t>
  </si>
  <si>
    <t xml:space="preserve">What is depreciation? The asset cost (existing build + new CapEx) spread over its 15-yr life as a</t>
  </si>
  <si>
    <t xml:space="preserve">non-cash expense in P&amp;L. Major maintenance above is the real CASH to keep the wooden buildings alive.</t>
  </si>
  <si>
    <t xml:space="preserve">PHASE 1 — REPAIR CAPEX (2026, repairs only)</t>
  </si>
  <si>
    <t xml:space="preserve">Water/electrical climate-resilient rebuild</t>
  </si>
  <si>
    <t xml:space="preserve">Repairs: roofs (12 villas)/yoga hall/2 pumps/renovation</t>
  </si>
  <si>
    <t xml:space="preserve">2026 repair CapEx subtotal</t>
  </si>
  <si>
    <t xml:space="preserve">+ $150k operating capital = working capital (in the raise, NOT CapEx; funds restart opex).</t>
  </si>
  <si>
    <t xml:space="preserve">PROFIT &amp; LOSS  ($)</t>
  </si>
  <si>
    <t xml:space="preserve">Total revenue</t>
  </si>
  <si>
    <t xml:space="preserve">Total cost-to-serve</t>
  </si>
  <si>
    <t xml:space="preserve">EBITDA</t>
  </si>
  <si>
    <t xml:space="preserve">Depreciation</t>
  </si>
  <si>
    <t xml:space="preserve">EBIT</t>
  </si>
  <si>
    <t xml:space="preserve">Tax (Ley 27037)</t>
  </si>
  <si>
    <t xml:space="preserve">NET INCOME</t>
  </si>
  <si>
    <t xml:space="preserve">Net margin</t>
  </si>
  <si>
    <t xml:space="preserve">Note: Peru allows net-operating-loss carry-forward; 2026–27 losses likely cut 2028–29 tax below the figures shown (conservative).</t>
  </si>
  <si>
    <t xml:space="preserve">CASH FLOW &amp; RUNWAY  ($)</t>
  </si>
  <si>
    <t xml:space="preserve">Net income</t>
  </si>
  <si>
    <t xml:space="preserve">+ Depreciation</t>
  </si>
  <si>
    <t xml:space="preserve">Working capital (level)</t>
  </si>
  <si>
    <t xml:space="preserve">Change in WC</t>
  </si>
  <si>
    <t xml:space="preserve">Operating cash flow</t>
  </si>
  <si>
    <t xml:space="preserve">Investing (total CapEx)</t>
  </si>
  <si>
    <t xml:space="preserve">Opening cash</t>
  </si>
  <si>
    <t xml:space="preserve">Cash before financing</t>
  </si>
  <si>
    <t xml:space="preserve">Equity draw (Tranche 1)</t>
  </si>
  <si>
    <t xml:space="preserve">Convertible drawn (standby, as needed)</t>
  </si>
  <si>
    <t xml:space="preserve">Cumulative convertible drawn</t>
  </si>
  <si>
    <t xml:space="preserve">Net cash flow</t>
  </si>
  <si>
    <t xml:space="preserve">CLOSING CASH</t>
  </si>
  <si>
    <t xml:space="preserve">Convertible is STANDBY: drawn only to keep cash ≥ $100k reserve. Total drawn ends well below the $1.64M committed (the rest uncalled).</t>
  </si>
  <si>
    <t xml:space="preserve">Insurance $40k = civil + worker-safety liability (most jungle climate risk is uninsurable); the $100k reserve covers climate damage.</t>
  </si>
  <si>
    <t xml:space="preserve">2026 is a CLOSED year: NO revenue; OPEX = minimum maintenance only ($4,576/mo x 5, Aug-Dec); repairs are in CapEx. Sanctuary RE-OPENS in 2027.</t>
  </si>
  <si>
    <t xml:space="preserve">FUNDING, CAP TABLE &amp; THE OFFER</t>
  </si>
  <si>
    <t xml:space="preserve">CAPITAL TO DATE — already raised</t>
  </si>
  <si>
    <t xml:space="preserve">Total already invested (45 participants)</t>
  </si>
  <si>
    <t xml:space="preserve">Olha Sytnyk</t>
  </si>
  <si>
    <t xml:space="preserve">All 45 are ACTIVE SHAREHOLDERS under ONE Shareholders Agreement across both SACs. Invested amount = official Companies Valuation, registered with SUNARP.</t>
  </si>
  <si>
    <t xml:space="preserve">Dmitrii Istomin</t>
  </si>
  <si>
    <t xml:space="preserve">Henry Mesa Arenas</t>
  </si>
  <si>
    <t xml:space="preserve">Svetlana Bazhnina</t>
  </si>
  <si>
    <t xml:space="preserve">Irina Korneeva</t>
  </si>
  <si>
    <t xml:space="preserve">Other 40 participants</t>
  </si>
  <si>
    <t xml:space="preserve">NEW RAISE — USE OF FUNDS</t>
  </si>
  <si>
    <t xml:space="preserve">Phase 1 — Repair &amp; Restart (water $70k + repairs $200k + opcap $150k)</t>
  </si>
  <si>
    <t xml:space="preserve">Phase 2 — Conservation &amp; Community</t>
  </si>
  <si>
    <t xml:space="preserve">Phase 3 — Growth &amp; Innovation</t>
  </si>
  <si>
    <t xml:space="preserve">TOTAL RAISE</t>
  </si>
  <si>
    <t xml:space="preserve">THE OFFER TO INVESTORS  (two-instrument structure)</t>
  </si>
  <si>
    <t xml:space="preserve">Tranche 1 — EQUITY (restart; deployed first)</t>
  </si>
  <si>
    <t xml:space="preserve">$700k EQUITY = risk capital to reopen &amp; reach profit. Convertible = standby for Phase 2/3, drawn ONLY if</t>
  </si>
  <si>
    <t xml:space="preserve">Tranche 2 — CONVERTIBLE standby (Phase 2/3, only if cash short)</t>
  </si>
  <si>
    <t xml:space="preserve">operating cash is short; converts at a cap if drawn (likely partial — operations self-fund growth).</t>
  </si>
  <si>
    <t xml:space="preserve">Total committed</t>
  </si>
  <si>
    <t xml:space="preserve">ENTRY pre-money (TODAY — damaged/closed, restart basis)</t>
  </si>
  <si>
    <t xml:space="preserve">Entry value reflects the DAMAGED/CLOSED asset TODAY: ≈ invested/book $2.62M (negotiable to asset floor $4.6M).</t>
  </si>
  <si>
    <t xml:space="preserve">Equity stake for $700k (at entry pre-money)</t>
  </si>
  <si>
    <t xml:space="preserve">It is NOT the post-restart DCF ($7.4M) — that value is created BY the restart and is shown as upside below.</t>
  </si>
  <si>
    <t xml:space="preserve">POST-RESTART VALUE  (investor upside — NOT the entry price)</t>
  </si>
  <si>
    <t xml:space="preserve">Value if executed — DCF</t>
  </si>
  <si>
    <t xml:space="preserve">Value if executed — comparable 7x</t>
  </si>
  <si>
    <t xml:space="preserve">Investor's $700k equity worth @ DCF</t>
  </si>
  <si>
    <t xml:space="preserve">The $700k equity could be worth this much if the restart executes — i.e. the upside multiple on entry.</t>
  </si>
  <si>
    <t xml:space="preserve">Investor's $700k equity worth @ comparable</t>
  </si>
  <si>
    <t xml:space="preserve">Total capital in project after full raise</t>
  </si>
  <si>
    <t xml:space="preserve">FUNDING REQUIREMENT  (committed $2.34M ≠ all deployed)</t>
  </si>
  <si>
    <t xml:space="preserve">Hard minimum to reach profit (= equity tranche + reserve)</t>
  </si>
  <si>
    <t xml:space="preserve">Only ~$700k is the HARD minimum (equity). Peak cash gap −$600k end-2027.</t>
  </si>
  <si>
    <t xml:space="preserve">Convertible standby (Phase 2/3) — milestone tranches</t>
  </si>
  <si>
    <t xml:space="preserve">Convertible ACTUALLY drawn (model, standby)</t>
  </si>
  <si>
    <t xml:space="preserve">The convertible is drawn ONLY to hold the reserve; the model draws well under $1.64M — the rest stays uncalled.</t>
  </si>
  <si>
    <t xml:space="preserve">Cumulative operating cash 2028–2033</t>
  </si>
  <si>
    <t xml:space="preserve">INVESTOR RETURNS — $700k EQUITY (if projections hold)</t>
  </si>
  <si>
    <t xml:space="preserve">INPUTS</t>
  </si>
  <si>
    <t xml:space="preserve">Equity invested (Tranche 1)</t>
  </si>
  <si>
    <t xml:space="preserve">Equity stake — pre-conversion (entry $2.62M)</t>
  </si>
  <si>
    <t xml:space="preserve">Convertible drawn (model, total)</t>
  </si>
  <si>
    <t xml:space="preserve">Convertible conversion stake</t>
  </si>
  <si>
    <t xml:space="preserve">Pro-forma equity stake (POST-conversion)</t>
  </si>
  <si>
    <t xml:space="preserve">Exit EV multiple (on 2033 EBITDA)</t>
  </si>
  <si>
    <t xml:space="preserve">Company net income</t>
  </si>
  <si>
    <t xml:space="preserve">Company dividends (payout x NI)</t>
  </si>
  <si>
    <t xml:space="preserve">Investor dividend share (pro-forma)</t>
  </si>
  <si>
    <t xml:space="preserve">Investor exit value (2033, pro-forma)</t>
  </si>
  <si>
    <t xml:space="preserve">Investor net cash flow</t>
  </si>
  <si>
    <t xml:space="preserve">RETURNS SUMMARY (pro-forma, after convertible dilution)</t>
  </si>
  <si>
    <t xml:space="preserve">Total dividends to investor</t>
  </si>
  <si>
    <t xml:space="preserve">Exit value to investor (2033)</t>
  </si>
  <si>
    <t xml:space="preserve">Total returned to investor</t>
  </si>
  <si>
    <t xml:space="preserve">MOIC (x on $700k)</t>
  </si>
  <si>
    <t xml:space="preserve">IRR</t>
  </si>
  <si>
    <t xml:space="preserve">Returns are PRO-FORMA after the convertible converts (dilutes the 21% pre-conversion stake to the post figure above).</t>
  </si>
  <si>
    <t xml:space="preserve">Dividends from 2030 (after Phase 2/3); payout 50% of NI. Exit = stake x 2033 EBITDA x multiple (equity ≈ EV, no debt).</t>
  </si>
  <si>
    <t xml:space="preserve">VALUATION — 4 LENSES</t>
  </si>
  <si>
    <t xml:space="preserve">LENS 1 — ASSET / REPLACEMENT FLOOR</t>
  </si>
  <si>
    <t xml:space="preserve">Already-invested / book base</t>
  </si>
  <si>
    <t xml:space="preserve">Build cost ($/m2)</t>
  </si>
  <si>
    <t xml:space="preserve">Land ($/ha)</t>
  </si>
  <si>
    <t xml:space="preserve">Replacement estimate</t>
  </si>
  <si>
    <t xml:space="preserve">LENS 2 — INCOME / DCF (unlevered FCF)</t>
  </si>
  <si>
    <t xml:space="preserve">Unlevered FCF (EBITDA-tax-CapEx)</t>
  </si>
  <si>
    <t xml:space="preserve">PV of FCF</t>
  </si>
  <si>
    <t xml:space="preserve">Exit EBITDA multiple</t>
  </si>
  <si>
    <t xml:space="preserve">LENS 3 — COMPARABLE (EV/EBITDA on stabilized 2031)</t>
  </si>
  <si>
    <t xml:space="preserve">Stabilized EBITDA (2031)</t>
  </si>
  <si>
    <t xml:space="preserve">EV @ 4x (floor)</t>
  </si>
  <si>
    <t xml:space="preserve">EV @ 7x (independent)</t>
  </si>
  <si>
    <t xml:space="preserve">EV via cap rate (EBITDA/cap)</t>
  </si>
  <si>
    <t xml:space="preserve">LENS 4 — MARKET MULTIPLE &amp; ECO-LODGE COMPS</t>
  </si>
  <si>
    <t xml:space="preserve">EV @ chosen multiple (Assumptions)</t>
  </si>
  <si>
    <t xml:space="preserve">Comparable eco-lodge sale prices are mostly private/unpublished. $3–9M is an illustrative LatAm range</t>
  </si>
  <si>
    <t xml:space="preserve">Eco-lodge transaction range (illustrative)</t>
  </si>
  <si>
    <t xml:space="preserve">$3–9M</t>
  </si>
  <si>
    <t xml:space="preserve">(UNVERIFIED at source). The defensible headline = EV/EBITDA on stabilized EBITDA.</t>
  </si>
  <si>
    <t xml:space="preserve">SCENARIOS — stabilized (2031)</t>
  </si>
  <si>
    <t xml:space="preserve">Factors</t>
  </si>
  <si>
    <t xml:space="preserve">Downside: occupancy x</t>
  </si>
  <si>
    <t xml:space="preserve">Downside: rate x</t>
  </si>
  <si>
    <t xml:space="preserve">Downside: cost x</t>
  </si>
  <si>
    <t xml:space="preserve">Upside: volume x</t>
  </si>
  <si>
    <t xml:space="preserve">Upside: carbon/bio ($)</t>
  </si>
  <si>
    <t xml:space="preserve">Upside: cost x</t>
  </si>
  <si>
    <t xml:space="preserve">Base</t>
  </si>
  <si>
    <t xml:space="preserve">Downside</t>
  </si>
  <si>
    <t xml:space="preserve">Upside</t>
  </si>
  <si>
    <t xml:space="preserve">Revenue</t>
  </si>
  <si>
    <t xml:space="preserve">Cost-to-serve</t>
  </si>
  <si>
    <t xml:space="preserve">BUSINESS-INTERRUPTION STRESS (the realized historical risk)</t>
  </si>
  <si>
    <t xml:space="preserve">1 closed year: revenue ~0, fixed costs continue</t>
  </si>
  <si>
    <t xml:space="preserve">Cushioned by the $100k climate reserve + civil/worker insurance (the model already holds the reserve).</t>
  </si>
  <si>
    <t xml:space="preserve">RECONCILIATION CONTROLS</t>
  </si>
  <si>
    <t xml:space="preserve">Check</t>
  </si>
  <si>
    <t xml:space="preserve">Value</t>
  </si>
  <si>
    <t xml:space="preserve">Target</t>
  </si>
  <si>
    <t xml:space="preserve">Status</t>
  </si>
  <si>
    <t xml:space="preserve">Dev CapEx + op.capital = raise</t>
  </si>
  <si>
    <t xml:space="preserve">Financing drawn (eq+conv) &lt;= committed</t>
  </si>
  <si>
    <t xml:space="preserve">Min closing cash &gt;= reserve</t>
  </si>
  <si>
    <t xml:space="preserve">Use-of-funds = raise</t>
  </si>
  <si>
    <t xml:space="preserve">Stabilized EBITDA &gt; 0</t>
  </si>
  <si>
    <t xml:space="preserve">Convertible drawn &lt; committed (standby)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</si>
</sst>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\$#,##0;[RED]&quot;-$&quot;#,##0;\-"/>
    <numFmt numFmtId="166" formatCode="0.0%"/>
    <numFmt numFmtId="167" formatCode="0.00"/>
    <numFmt numFmtId="168" formatCode="0.0\x"/>
    <numFmt numFmtId="169" formatCode="0"/>
    <numFmt numFmtId="170" formatCode="0.0"/>
    <numFmt numFmtId="171" formatCode="#,##0"/>
    <numFmt numFmtId="172" formatCode="\$#,##0.00;[RED]&quot;-$&quot;#,##0.00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8"/>
      <color rgb="FFF9F8F6"/>
      <name val="Georgia"/>
      <family val="1"/>
      <charset val="1"/>
    </font>
    <font>
      <i val="true"/>
      <sz val="9"/>
      <color rgb="FF7E7367"/>
      <name val="Inter"/>
      <family val="0"/>
      <charset val="1"/>
    </font>
    <font>
      <b val="true"/>
      <sz val="9"/>
      <color rgb="FFF9F8F6"/>
      <name val="Inter"/>
      <family val="0"/>
      <charset val="1"/>
    </font>
    <font>
      <sz val="10"/>
      <color rgb="FF221F1C"/>
      <name val="Inter"/>
      <family val="0"/>
      <charset val="1"/>
    </font>
    <font>
      <sz val="13"/>
      <color rgb="FFAC5C39"/>
      <name val="Georgia"/>
      <family val="1"/>
      <charset val="1"/>
    </font>
    <font>
      <sz val="10"/>
      <color rgb="FF0000FF"/>
      <name val="Inter"/>
      <family val="0"/>
      <charset val="1"/>
    </font>
    <font>
      <b val="true"/>
      <sz val="10"/>
      <color rgb="FF203C2E"/>
      <name val="Inter"/>
      <family val="0"/>
      <charset val="1"/>
    </font>
    <font>
      <sz val="10"/>
      <color rgb="FF476B59"/>
      <name val="Inter"/>
      <family val="0"/>
      <charset val="1"/>
    </font>
    <font>
      <sz val="11"/>
      <name val="True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9F8F6"/>
        <bgColor rgb="FFFFFFCC"/>
      </patternFill>
    </fill>
    <fill>
      <patternFill patternType="solid">
        <fgColor rgb="FF203C2E"/>
        <bgColor rgb="FF2A4638"/>
      </patternFill>
    </fill>
    <fill>
      <patternFill patternType="solid">
        <fgColor rgb="FF2A4638"/>
        <bgColor rgb="FF203C2E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D7AA42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8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9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9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9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9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9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9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9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6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1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1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2" fontId="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2" fontId="1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0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2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8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9F8F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E7367"/>
      <rgbColor rgb="FF9999FF"/>
      <rgbColor rgb="FFAC5C39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D7AA42"/>
      <rgbColor rgb="FFFF6600"/>
      <rgbColor rgb="FF476B59"/>
      <rgbColor rgb="FF969696"/>
      <rgbColor rgb="FF2A4638"/>
      <rgbColor rgb="FF339966"/>
      <rgbColor rgb="FF003300"/>
      <rgbColor rgb="FF221F1C"/>
      <rgbColor rgb="FF993300"/>
      <rgbColor rgb="FF993366"/>
      <rgbColor rgb="FF333399"/>
      <rgbColor rgb="FF203C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3C2E"/>
    <pageSetUpPr fitToPage="false"/>
  </sheetPr>
  <dimension ref="A1:K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6796875" defaultRowHeight="15" customHeight="fals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44"/>
    <col collapsed="false" customWidth="true" hidden="false" outlineLevel="0" max="3" min="3" style="1" width="18"/>
    <col collapsed="false" customWidth="true" hidden="false" outlineLevel="0" max="4" min="4" style="1" width="13"/>
    <col collapsed="false" customWidth="true" hidden="false" outlineLevel="0" max="5" min="5" style="1" width="48"/>
    <col collapsed="false" customWidth="true" hidden="false" outlineLevel="0" max="10" min="6" style="1" width="13"/>
    <col collapsed="false" customWidth="true" hidden="false" outlineLevel="0" max="11" min="11" style="1" width="30"/>
  </cols>
  <sheetData>
    <row r="1" customFormat="false" ht="31.5" hidden="false" customHeight="true" outlineLevel="0" collapsed="false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2"/>
    </row>
    <row r="2" customFormat="false" ht="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15" hidden="false" customHeight="true" outlineLevel="0" collapsed="false">
      <c r="A3" s="2"/>
      <c r="B3" s="4" t="s">
        <v>1</v>
      </c>
      <c r="C3" s="2"/>
      <c r="D3" s="2"/>
      <c r="E3" s="2"/>
      <c r="F3" s="2"/>
      <c r="G3" s="2"/>
      <c r="H3" s="2"/>
      <c r="I3" s="2"/>
      <c r="J3" s="2"/>
      <c r="K3" s="2"/>
    </row>
    <row r="4" customFormat="false" ht="1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customFormat="false" ht="15" hidden="false" customHeight="true" outlineLevel="0" collapsed="false">
      <c r="A5" s="2"/>
      <c r="B5" s="5" t="s">
        <v>2</v>
      </c>
      <c r="C5" s="6"/>
      <c r="D5" s="6"/>
      <c r="E5" s="6"/>
      <c r="F5" s="6"/>
      <c r="G5" s="6"/>
      <c r="H5" s="6"/>
      <c r="I5" s="6"/>
      <c r="J5" s="6"/>
      <c r="K5" s="2"/>
    </row>
    <row r="6" customFormat="false" ht="16.5" hidden="false" customHeight="true" outlineLevel="0" collapsed="false">
      <c r="A6" s="2"/>
      <c r="B6" s="7" t="s">
        <v>3</v>
      </c>
      <c r="C6" s="8" t="n">
        <f aca="false">Assumptions!$C$56</f>
        <v>2617268</v>
      </c>
      <c r="D6" s="2"/>
      <c r="E6" s="2"/>
      <c r="F6" s="2"/>
      <c r="G6" s="2"/>
      <c r="H6" s="2"/>
      <c r="I6" s="2"/>
      <c r="J6" s="2"/>
      <c r="K6" s="2"/>
    </row>
    <row r="7" customFormat="false" ht="16.5" hidden="false" customHeight="true" outlineLevel="0" collapsed="false">
      <c r="A7" s="2"/>
      <c r="B7" s="7" t="s">
        <v>4</v>
      </c>
      <c r="C7" s="8" t="n">
        <f aca="false">Assumptions!$C$57</f>
        <v>2340000</v>
      </c>
      <c r="D7" s="2"/>
      <c r="E7" s="2"/>
      <c r="F7" s="2"/>
      <c r="G7" s="2"/>
      <c r="H7" s="2"/>
      <c r="I7" s="2"/>
      <c r="J7" s="2"/>
      <c r="K7" s="2"/>
    </row>
    <row r="8" customFormat="false" ht="15" hidden="false" customHeight="true" outlineLevel="0" collapsed="false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customFormat="false" ht="15" hidden="false" customHeight="true" outlineLevel="0" collapsed="false">
      <c r="A9" s="2"/>
      <c r="B9" s="5" t="s">
        <v>5</v>
      </c>
      <c r="C9" s="6"/>
      <c r="D9" s="6"/>
      <c r="E9" s="6"/>
      <c r="F9" s="6"/>
      <c r="G9" s="6"/>
      <c r="H9" s="6"/>
      <c r="I9" s="6"/>
      <c r="J9" s="6"/>
      <c r="K9" s="2"/>
    </row>
    <row r="10" customFormat="false" ht="16.5" hidden="false" customHeight="true" outlineLevel="0" collapsed="false">
      <c r="A10" s="2"/>
      <c r="B10" s="7" t="s">
        <v>6</v>
      </c>
      <c r="C10" s="8" t="n">
        <f aca="false">Revenue!H11</f>
        <v>4742417.68985884</v>
      </c>
      <c r="D10" s="2"/>
      <c r="E10" s="2"/>
      <c r="F10" s="2"/>
      <c r="G10" s="2"/>
      <c r="H10" s="2"/>
      <c r="I10" s="2"/>
      <c r="J10" s="2"/>
      <c r="K10" s="2"/>
    </row>
    <row r="11" customFormat="false" ht="16.5" hidden="false" customHeight="true" outlineLevel="0" collapsed="false">
      <c r="A11" s="2"/>
      <c r="B11" s="7" t="s">
        <v>7</v>
      </c>
      <c r="C11" s="8" t="n">
        <f aca="false">PnL!H6</f>
        <v>1967036.48030081</v>
      </c>
      <c r="D11" s="2"/>
      <c r="E11" s="2"/>
      <c r="F11" s="2"/>
      <c r="G11" s="2"/>
      <c r="H11" s="2"/>
      <c r="I11" s="2"/>
      <c r="J11" s="2"/>
      <c r="K11" s="2"/>
    </row>
    <row r="12" customFormat="false" ht="16.5" hidden="false" customHeight="true" outlineLevel="0" collapsed="false">
      <c r="A12" s="2"/>
      <c r="B12" s="7" t="s">
        <v>8</v>
      </c>
      <c r="C12" s="9" t="n">
        <f aca="false">PnL!H11</f>
        <v>0.414775038585722</v>
      </c>
      <c r="D12" s="2"/>
      <c r="E12" s="2"/>
      <c r="F12" s="2"/>
      <c r="G12" s="2"/>
      <c r="H12" s="2"/>
      <c r="I12" s="2"/>
      <c r="J12" s="2"/>
      <c r="K12" s="2"/>
    </row>
    <row r="13" customFormat="false" ht="16.5" hidden="false" customHeight="true" outlineLevel="0" collapsed="false">
      <c r="A13" s="2"/>
      <c r="B13" s="7" t="s">
        <v>9</v>
      </c>
      <c r="C13" s="8" t="n">
        <f aca="false">Valuation!C14</f>
        <v>7690295.57530742</v>
      </c>
      <c r="D13" s="2"/>
      <c r="E13" s="2"/>
      <c r="F13" s="2"/>
      <c r="G13" s="2"/>
      <c r="H13" s="2"/>
      <c r="I13" s="2"/>
      <c r="J13" s="2"/>
      <c r="K13" s="2"/>
    </row>
    <row r="14" customFormat="false" ht="16.5" hidden="false" customHeight="true" outlineLevel="0" collapsed="false">
      <c r="A14" s="2"/>
      <c r="B14" s="7" t="s">
        <v>10</v>
      </c>
      <c r="C14" s="8" t="n">
        <f aca="false">Valuation!C22</f>
        <v>11802218.8818049</v>
      </c>
      <c r="D14" s="2"/>
      <c r="E14" s="2"/>
      <c r="F14" s="2"/>
      <c r="G14" s="2"/>
      <c r="H14" s="2"/>
      <c r="I14" s="2"/>
      <c r="J14" s="2"/>
      <c r="K14" s="2"/>
    </row>
    <row r="15" customFormat="false" ht="16.5" hidden="false" customHeight="true" outlineLevel="0" collapsed="false">
      <c r="A15" s="2"/>
      <c r="B15" s="7" t="s">
        <v>11</v>
      </c>
      <c r="C15" s="8" t="n">
        <f aca="false">Valuation!C7</f>
        <v>4581600</v>
      </c>
      <c r="D15" s="2"/>
      <c r="E15" s="2"/>
      <c r="F15" s="2"/>
      <c r="G15" s="2"/>
      <c r="H15" s="2"/>
      <c r="I15" s="2"/>
      <c r="J15" s="2"/>
      <c r="K15" s="2"/>
    </row>
    <row r="16" customFormat="false" ht="15" hidden="false" customHeight="tru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customFormat="false" ht="15" hidden="false" customHeight="true" outlineLevel="0" collapsed="false">
      <c r="A17" s="2"/>
      <c r="B17" s="5" t="s">
        <v>12</v>
      </c>
      <c r="C17" s="6"/>
      <c r="D17" s="6"/>
      <c r="E17" s="6"/>
      <c r="F17" s="6"/>
      <c r="G17" s="6"/>
      <c r="H17" s="6"/>
      <c r="I17" s="6"/>
      <c r="J17" s="6"/>
      <c r="K17" s="2"/>
    </row>
    <row r="18" customFormat="false" ht="15" hidden="false" customHeight="true" outlineLevel="0" collapsed="false">
      <c r="A18" s="2"/>
      <c r="B18" s="4" t="s">
        <v>13</v>
      </c>
      <c r="C18" s="2"/>
      <c r="D18" s="2"/>
      <c r="E18" s="2"/>
      <c r="F18" s="2"/>
      <c r="G18" s="2"/>
      <c r="H18" s="2"/>
      <c r="I18" s="2"/>
      <c r="J18" s="2"/>
      <c r="K18" s="2"/>
    </row>
    <row r="19" customFormat="false" ht="15" hidden="false" customHeight="true" outlineLevel="0" collapsed="false">
      <c r="A19" s="2"/>
      <c r="B19" s="4" t="s">
        <v>14</v>
      </c>
      <c r="C19" s="2"/>
      <c r="D19" s="2"/>
      <c r="E19" s="2"/>
      <c r="F19" s="2"/>
      <c r="G19" s="2"/>
      <c r="H19" s="2"/>
      <c r="I19" s="2"/>
      <c r="J19" s="2"/>
      <c r="K19" s="2"/>
    </row>
    <row r="20" customFormat="false" ht="15" hidden="false" customHeight="true" outlineLevel="0" collapsed="false">
      <c r="A20" s="2"/>
      <c r="B20" s="4" t="s">
        <v>15</v>
      </c>
      <c r="C20" s="2"/>
      <c r="D20" s="2"/>
      <c r="E20" s="2"/>
      <c r="F20" s="2"/>
      <c r="G20" s="2"/>
      <c r="H20" s="2"/>
      <c r="I20" s="2"/>
      <c r="J20" s="2"/>
      <c r="K20" s="2"/>
    </row>
    <row r="21" customFormat="false" ht="15" hidden="false" customHeight="true" outlineLevel="0" collapsed="false">
      <c r="A21" s="2"/>
      <c r="B21" s="4" t="s">
        <v>16</v>
      </c>
      <c r="C21" s="2"/>
      <c r="D21" s="2"/>
      <c r="E21" s="2"/>
      <c r="F21" s="2"/>
      <c r="G21" s="2"/>
      <c r="H21" s="2"/>
      <c r="I21" s="2"/>
      <c r="J21" s="2"/>
      <c r="K21" s="2"/>
    </row>
    <row r="22" customFormat="false" ht="15" hidden="false" customHeight="tru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customFormat="false" ht="15" hidden="false" customHeight="true" outlineLevel="0" collapsed="false">
      <c r="A23" s="2"/>
      <c r="B23" s="5" t="s">
        <v>17</v>
      </c>
      <c r="C23" s="6"/>
      <c r="D23" s="6"/>
      <c r="E23" s="6"/>
      <c r="F23" s="6"/>
      <c r="G23" s="6"/>
      <c r="H23" s="6"/>
      <c r="I23" s="6"/>
      <c r="J23" s="6"/>
      <c r="K23" s="2"/>
    </row>
    <row r="24" customFormat="false" ht="15" hidden="false" customHeight="true" outlineLevel="0" collapsed="false">
      <c r="A24" s="2"/>
      <c r="B24" s="4" t="s">
        <v>18</v>
      </c>
      <c r="C24" s="2"/>
      <c r="D24" s="2"/>
      <c r="E24" s="2"/>
      <c r="F24" s="2"/>
      <c r="G24" s="2"/>
      <c r="H24" s="2"/>
      <c r="I24" s="2"/>
      <c r="J24" s="2"/>
      <c r="K24" s="2"/>
    </row>
    <row r="25" customFormat="false" ht="15" hidden="false" customHeight="true" outlineLevel="0" collapsed="false">
      <c r="A25" s="2"/>
      <c r="B25" s="4" t="s">
        <v>19</v>
      </c>
      <c r="C25" s="2"/>
      <c r="D25" s="2"/>
      <c r="E25" s="2"/>
      <c r="F25" s="2"/>
      <c r="G25" s="2"/>
      <c r="H25" s="2"/>
      <c r="I25" s="2"/>
      <c r="J25" s="2"/>
      <c r="K25" s="2"/>
    </row>
    <row r="26" customFormat="false" ht="15" hidden="false" customHeight="true" outlineLevel="0" collapsed="false">
      <c r="A26" s="2"/>
      <c r="B26" s="4" t="s">
        <v>20</v>
      </c>
      <c r="C26" s="2"/>
      <c r="D26" s="2"/>
      <c r="E26" s="2"/>
      <c r="F26" s="2"/>
      <c r="G26" s="2"/>
      <c r="H26" s="2"/>
      <c r="I26" s="2"/>
      <c r="J26" s="2"/>
      <c r="K26" s="2"/>
    </row>
    <row r="27" customFormat="false" ht="15" hidden="false" customHeight="true" outlineLevel="0" collapsed="false">
      <c r="A27" s="2"/>
      <c r="B27" s="2" t="s">
        <v>21</v>
      </c>
      <c r="C27" s="2"/>
      <c r="D27" s="2"/>
      <c r="E27" s="2"/>
      <c r="F27" s="2"/>
      <c r="G27" s="2"/>
      <c r="H27" s="2"/>
      <c r="I27" s="2"/>
      <c r="J27" s="2"/>
      <c r="K27" s="2"/>
    </row>
    <row r="28" customFormat="false" ht="15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customFormat="false" ht="15" hidden="false" customHeight="true" outlineLevel="0" collapsed="false">
      <c r="A29" s="2"/>
      <c r="B29" s="5" t="s">
        <v>22</v>
      </c>
      <c r="C29" s="6"/>
      <c r="D29" s="6"/>
      <c r="E29" s="6"/>
      <c r="F29" s="6"/>
      <c r="G29" s="6"/>
      <c r="H29" s="6"/>
      <c r="I29" s="6"/>
      <c r="J29" s="6"/>
      <c r="K29" s="2"/>
    </row>
    <row r="30" customFormat="false" ht="15" hidden="false" customHeight="true" outlineLevel="0" collapsed="false">
      <c r="A30" s="2"/>
      <c r="B30" s="7" t="s">
        <v>23</v>
      </c>
      <c r="C30" s="2"/>
      <c r="D30" s="2"/>
      <c r="E30" s="2"/>
      <c r="F30" s="2"/>
      <c r="G30" s="2"/>
      <c r="H30" s="2"/>
      <c r="I30" s="2"/>
      <c r="J30" s="2"/>
      <c r="K30" s="2"/>
    </row>
    <row r="31" customFormat="false" ht="15" hidden="false" customHeight="true" outlineLevel="0" collapsed="false">
      <c r="A31" s="2"/>
      <c r="B31" s="7" t="s">
        <v>24</v>
      </c>
      <c r="C31" s="2"/>
      <c r="D31" s="2"/>
      <c r="E31" s="2"/>
      <c r="F31" s="2"/>
      <c r="G31" s="2"/>
      <c r="H31" s="2"/>
      <c r="I31" s="2"/>
      <c r="J31" s="2"/>
      <c r="K31" s="2"/>
    </row>
    <row r="32" customFormat="false" ht="15" hidden="false" customHeight="true" outlineLevel="0" collapsed="false">
      <c r="A32" s="2"/>
      <c r="B32" s="7" t="s">
        <v>25</v>
      </c>
      <c r="C32" s="2"/>
      <c r="D32" s="2"/>
      <c r="E32" s="2"/>
      <c r="F32" s="2"/>
      <c r="G32" s="2"/>
      <c r="H32" s="2"/>
      <c r="I32" s="2"/>
      <c r="J32" s="2"/>
      <c r="K32" s="2"/>
    </row>
    <row r="33" customFormat="false" ht="15" hidden="false" customHeight="true" outlineLevel="0" collapsed="false">
      <c r="A33" s="2"/>
      <c r="B33" s="7" t="s">
        <v>26</v>
      </c>
      <c r="C33" s="2"/>
      <c r="D33" s="2"/>
      <c r="E33" s="2"/>
      <c r="F33" s="2"/>
      <c r="G33" s="2"/>
      <c r="H33" s="2"/>
      <c r="I33" s="2"/>
      <c r="J33" s="2"/>
      <c r="K33" s="2"/>
    </row>
    <row r="34" customFormat="false" ht="15" hidden="false" customHeight="true" outlineLevel="0" collapsed="false">
      <c r="A34" s="2"/>
      <c r="B34" s="7" t="s">
        <v>27</v>
      </c>
      <c r="C34" s="2"/>
      <c r="D34" s="2"/>
      <c r="E34" s="2"/>
      <c r="F34" s="2"/>
      <c r="G34" s="2"/>
      <c r="H34" s="2"/>
      <c r="I34" s="2"/>
      <c r="J34" s="2"/>
      <c r="K34" s="2"/>
    </row>
    <row r="35" customFormat="false" ht="15" hidden="false" customHeight="true" outlineLevel="0" collapsed="false">
      <c r="A35" s="2"/>
      <c r="B35" s="7" t="s">
        <v>28</v>
      </c>
      <c r="C35" s="2"/>
      <c r="D35" s="2"/>
      <c r="E35" s="2"/>
      <c r="F35" s="2"/>
      <c r="G35" s="2"/>
      <c r="H35" s="2"/>
      <c r="I35" s="2"/>
      <c r="J35" s="2"/>
      <c r="K35" s="2"/>
    </row>
    <row r="36" customFormat="false" ht="15" hidden="false" customHeight="true" outlineLevel="0" collapsed="false">
      <c r="A36" s="2"/>
      <c r="B36" s="7" t="s">
        <v>29</v>
      </c>
      <c r="C36" s="2"/>
      <c r="D36" s="2"/>
      <c r="E36" s="2"/>
      <c r="F36" s="2"/>
      <c r="G36" s="2"/>
      <c r="H36" s="2"/>
      <c r="I36" s="2"/>
      <c r="J36" s="2"/>
      <c r="K36" s="2"/>
    </row>
    <row r="37" customFormat="false" ht="15" hidden="false" customHeight="true" outlineLevel="0" collapsed="false">
      <c r="A37" s="2"/>
      <c r="B37" s="7" t="s">
        <v>30</v>
      </c>
      <c r="C37" s="2"/>
      <c r="D37" s="2"/>
      <c r="E37" s="2"/>
      <c r="F37" s="2"/>
      <c r="G37" s="2"/>
      <c r="H37" s="2"/>
      <c r="I37" s="2"/>
      <c r="J37" s="2"/>
      <c r="K37" s="2"/>
    </row>
    <row r="38" customFormat="false" ht="15" hidden="false" customHeight="true" outlineLevel="0" collapsed="false">
      <c r="A38" s="2"/>
      <c r="B38" s="7" t="s">
        <v>31</v>
      </c>
      <c r="C38" s="2"/>
      <c r="D38" s="2"/>
      <c r="E38" s="2"/>
      <c r="F38" s="2"/>
      <c r="G38" s="2"/>
      <c r="H38" s="2"/>
      <c r="I38" s="2"/>
      <c r="J38" s="2"/>
      <c r="K38" s="2"/>
    </row>
    <row r="39" customFormat="false" ht="15" hidden="false" customHeight="true" outlineLevel="0" collapsed="false">
      <c r="A39" s="2"/>
      <c r="B39" s="7" t="s">
        <v>32</v>
      </c>
      <c r="C39" s="2"/>
      <c r="D39" s="2"/>
      <c r="E39" s="2"/>
      <c r="F39" s="2"/>
      <c r="G39" s="2"/>
      <c r="H39" s="2"/>
      <c r="I39" s="2"/>
      <c r="J39" s="2"/>
      <c r="K39" s="2"/>
    </row>
    <row r="40" customFormat="false" ht="15" hidden="false" customHeight="true" outlineLevel="0" collapsed="false">
      <c r="A40" s="2"/>
      <c r="B40" s="7" t="s">
        <v>33</v>
      </c>
      <c r="C40" s="2"/>
      <c r="D40" s="2"/>
      <c r="E40" s="2"/>
      <c r="F40" s="2"/>
      <c r="G40" s="2"/>
      <c r="H40" s="2"/>
      <c r="I40" s="2"/>
      <c r="J40" s="2"/>
      <c r="K40" s="2"/>
    </row>
    <row r="41" customFormat="false" ht="15" hidden="false" customHeight="true" outlineLevel="0" collapsed="false">
      <c r="A41" s="2"/>
      <c r="B41" s="7" t="s">
        <v>34</v>
      </c>
      <c r="C41" s="2"/>
      <c r="D41" s="2"/>
      <c r="E41" s="2"/>
      <c r="F41" s="2"/>
      <c r="G41" s="2"/>
      <c r="H41" s="2"/>
      <c r="I41" s="2"/>
      <c r="J41" s="2"/>
      <c r="K41" s="2"/>
    </row>
    <row r="42" customFormat="false" ht="15" hidden="false" customHeight="true" outlineLevel="0" collapsed="false">
      <c r="A42" s="2"/>
      <c r="B42" s="7" t="s">
        <v>35</v>
      </c>
      <c r="C42" s="2"/>
      <c r="D42" s="2"/>
      <c r="E42" s="2"/>
      <c r="F42" s="2"/>
      <c r="G42" s="2"/>
      <c r="H42" s="2"/>
      <c r="I42" s="2"/>
      <c r="J42" s="2"/>
      <c r="K42" s="2"/>
    </row>
    <row r="43" customFormat="false" ht="15" hidden="false" customHeight="true" outlineLevel="0" collapsed="false">
      <c r="A43" s="2"/>
      <c r="B43" s="7" t="s">
        <v>36</v>
      </c>
      <c r="C43" s="2"/>
      <c r="D43" s="2"/>
      <c r="E43" s="2"/>
      <c r="F43" s="2"/>
      <c r="G43" s="2"/>
      <c r="H43" s="2"/>
      <c r="I43" s="2"/>
      <c r="J43" s="2"/>
      <c r="K43" s="2"/>
    </row>
    <row r="44" customFormat="false" ht="15" hidden="false" customHeight="true" outlineLevel="0" collapsed="false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customFormat="false" ht="15" hidden="false" customHeight="true" outlineLevel="0" collapsed="false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</sheetData>
  <mergeCells count="1">
    <mergeCell ref="B1:J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3C2E"/>
    <pageSetUpPr fitToPage="false"/>
  </sheetPr>
  <dimension ref="A1:K7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6796875" defaultRowHeight="15" customHeight="fals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44"/>
    <col collapsed="false" customWidth="true" hidden="false" outlineLevel="0" max="3" min="3" style="1" width="13"/>
    <col collapsed="false" customWidth="true" hidden="false" outlineLevel="0" max="4" min="4" style="1" width="11"/>
    <col collapsed="false" customWidth="true" hidden="false" outlineLevel="0" max="5" min="5" style="1" width="46"/>
    <col collapsed="false" customWidth="true" hidden="false" outlineLevel="0" max="10" min="6" style="1" width="13"/>
    <col collapsed="false" customWidth="true" hidden="false" outlineLevel="0" max="11" min="11" style="1" width="30"/>
  </cols>
  <sheetData>
    <row r="1" customFormat="false" ht="31.5" hidden="false" customHeight="true" outlineLevel="0" collapsed="false">
      <c r="A1" s="2"/>
      <c r="B1" s="3" t="s">
        <v>37</v>
      </c>
      <c r="C1" s="3"/>
      <c r="D1" s="3"/>
      <c r="E1" s="3"/>
      <c r="F1" s="3"/>
      <c r="G1" s="3"/>
      <c r="H1" s="3"/>
      <c r="I1" s="3"/>
      <c r="J1" s="3"/>
      <c r="K1" s="2"/>
    </row>
    <row r="2" customFormat="false" ht="15" hidden="false" customHeight="true" outlineLevel="0" collapsed="false">
      <c r="A2" s="2"/>
      <c r="B2" s="4" t="s">
        <v>38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15" hidden="false" customHeight="tru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15" hidden="false" customHeight="true" outlineLevel="0" collapsed="false">
      <c r="A4" s="2"/>
      <c r="B4" s="5" t="s">
        <v>39</v>
      </c>
      <c r="C4" s="6"/>
      <c r="D4" s="6"/>
      <c r="E4" s="6"/>
      <c r="F4" s="6"/>
      <c r="G4" s="6"/>
      <c r="H4" s="6"/>
      <c r="I4" s="6"/>
      <c r="J4" s="6"/>
      <c r="K4" s="2"/>
    </row>
    <row r="5" customFormat="false" ht="15" hidden="false" customHeight="true" outlineLevel="0" collapsed="false">
      <c r="A5" s="2"/>
      <c r="B5" s="7" t="s">
        <v>40</v>
      </c>
      <c r="C5" s="10" t="n">
        <v>0.05</v>
      </c>
      <c r="D5" s="2"/>
      <c r="E5" s="4" t="s">
        <v>41</v>
      </c>
      <c r="F5" s="2"/>
      <c r="G5" s="2"/>
      <c r="H5" s="2"/>
      <c r="I5" s="2"/>
      <c r="J5" s="2"/>
      <c r="K5" s="2"/>
    </row>
    <row r="6" customFormat="false" ht="15" hidden="false" customHeight="true" outlineLevel="0" collapsed="false">
      <c r="A6" s="2"/>
      <c r="B6" s="7" t="s">
        <v>42</v>
      </c>
      <c r="C6" s="11" t="n">
        <v>3.3</v>
      </c>
      <c r="D6" s="2"/>
      <c r="E6" s="4" t="s">
        <v>43</v>
      </c>
      <c r="F6" s="2"/>
      <c r="G6" s="2"/>
      <c r="H6" s="2"/>
      <c r="I6" s="2"/>
      <c r="J6" s="2"/>
      <c r="K6" s="2"/>
    </row>
    <row r="7" customFormat="false" ht="15" hidden="false" customHeight="true" outlineLevel="0" collapsed="false">
      <c r="A7" s="2"/>
      <c r="B7" s="7" t="s">
        <v>44</v>
      </c>
      <c r="C7" s="10" t="n">
        <v>0.03</v>
      </c>
      <c r="D7" s="2"/>
      <c r="E7" s="2"/>
      <c r="F7" s="2"/>
      <c r="G7" s="2"/>
      <c r="H7" s="2"/>
      <c r="I7" s="2"/>
      <c r="J7" s="2"/>
      <c r="K7" s="2"/>
    </row>
    <row r="8" customFormat="false" ht="15" hidden="false" customHeight="true" outlineLevel="0" collapsed="false">
      <c r="A8" s="2"/>
      <c r="B8" s="7" t="s">
        <v>45</v>
      </c>
      <c r="C8" s="10" t="n">
        <v>0.05</v>
      </c>
      <c r="D8" s="2"/>
      <c r="E8" s="2"/>
      <c r="F8" s="2"/>
      <c r="G8" s="2"/>
      <c r="H8" s="2"/>
      <c r="I8" s="2"/>
      <c r="J8" s="2"/>
      <c r="K8" s="2"/>
    </row>
    <row r="9" customFormat="false" ht="15" hidden="false" customHeight="true" outlineLevel="0" collapsed="false">
      <c r="A9" s="2"/>
      <c r="B9" s="7" t="s">
        <v>46</v>
      </c>
      <c r="C9" s="10" t="n">
        <v>0.12</v>
      </c>
      <c r="D9" s="2"/>
      <c r="E9" s="2"/>
      <c r="F9" s="2"/>
      <c r="G9" s="2"/>
      <c r="H9" s="2"/>
      <c r="I9" s="2"/>
      <c r="J9" s="2"/>
      <c r="K9" s="2"/>
    </row>
    <row r="10" customFormat="false" ht="15" hidden="false" customHeight="true" outlineLevel="0" collapsed="false">
      <c r="A10" s="2"/>
      <c r="B10" s="7" t="s">
        <v>47</v>
      </c>
      <c r="C10" s="10" t="n">
        <v>0.105</v>
      </c>
      <c r="D10" s="2"/>
      <c r="E10" s="2"/>
      <c r="F10" s="2"/>
      <c r="G10" s="2"/>
      <c r="H10" s="2"/>
      <c r="I10" s="2"/>
      <c r="J10" s="2"/>
      <c r="K10" s="2"/>
    </row>
    <row r="11" customFormat="false" ht="15" hidden="false" customHeight="true" outlineLevel="0" collapsed="false">
      <c r="A11" s="2"/>
      <c r="B11" s="7" t="s">
        <v>48</v>
      </c>
      <c r="C11" s="10" t="n">
        <v>0.02</v>
      </c>
      <c r="D11" s="2"/>
      <c r="E11" s="2"/>
      <c r="F11" s="2"/>
      <c r="G11" s="2"/>
      <c r="H11" s="2"/>
      <c r="I11" s="2"/>
      <c r="J11" s="2"/>
      <c r="K11" s="2"/>
    </row>
    <row r="12" customFormat="false" ht="15" hidden="false" customHeight="true" outlineLevel="0" collapsed="false">
      <c r="A12" s="2"/>
      <c r="B12" s="7" t="s">
        <v>49</v>
      </c>
      <c r="C12" s="12" t="n">
        <v>6</v>
      </c>
      <c r="D12" s="2"/>
      <c r="E12" s="4" t="s">
        <v>50</v>
      </c>
      <c r="F12" s="2"/>
      <c r="G12" s="2"/>
      <c r="H12" s="2"/>
      <c r="I12" s="2"/>
      <c r="J12" s="2"/>
      <c r="K12" s="2"/>
    </row>
    <row r="13" customFormat="false" ht="15" hidden="false" customHeight="true" outlineLevel="0" collapsed="false">
      <c r="A13" s="2"/>
      <c r="B13" s="7" t="s">
        <v>51</v>
      </c>
      <c r="C13" s="13" t="n">
        <v>2620000</v>
      </c>
      <c r="D13" s="2"/>
      <c r="E13" s="4" t="s">
        <v>52</v>
      </c>
      <c r="F13" s="2"/>
      <c r="G13" s="2"/>
      <c r="H13" s="2"/>
      <c r="I13" s="2"/>
      <c r="J13" s="2"/>
      <c r="K13" s="2"/>
    </row>
    <row r="14" customFormat="false" ht="15" hidden="false" customHeight="true" outlineLevel="0" collapsed="false">
      <c r="A14" s="2"/>
      <c r="B14" s="7" t="s">
        <v>53</v>
      </c>
      <c r="C14" s="10" t="n">
        <v>0.5</v>
      </c>
      <c r="D14" s="2"/>
      <c r="E14" s="4" t="s">
        <v>54</v>
      </c>
      <c r="F14" s="2"/>
      <c r="G14" s="2"/>
      <c r="H14" s="2"/>
      <c r="I14" s="2"/>
      <c r="J14" s="2"/>
      <c r="K14" s="2"/>
    </row>
    <row r="15" customFormat="false" ht="15" hidden="false" customHeight="true" outlineLevel="0" collapsed="false">
      <c r="A15" s="2"/>
      <c r="B15" s="7" t="s">
        <v>55</v>
      </c>
      <c r="C15" s="14" t="n">
        <v>2030</v>
      </c>
      <c r="D15" s="2"/>
      <c r="E15" s="4" t="s">
        <v>56</v>
      </c>
      <c r="F15" s="2"/>
      <c r="G15" s="2"/>
      <c r="H15" s="2"/>
      <c r="I15" s="2"/>
      <c r="J15" s="2"/>
      <c r="K15" s="2"/>
    </row>
    <row r="16" customFormat="false" ht="15" hidden="false" customHeight="true" outlineLevel="0" collapsed="false">
      <c r="A16" s="2"/>
      <c r="B16" s="5" t="s">
        <v>57</v>
      </c>
      <c r="C16" s="6"/>
      <c r="D16" s="6"/>
      <c r="E16" s="6"/>
      <c r="F16" s="6"/>
      <c r="G16" s="6"/>
      <c r="H16" s="6"/>
      <c r="I16" s="6"/>
      <c r="J16" s="6"/>
      <c r="K16" s="2"/>
    </row>
    <row r="17" customFormat="false" ht="15" hidden="false" customHeight="true" outlineLevel="0" collapsed="false">
      <c r="A17" s="2"/>
      <c r="B17" s="4" t="s">
        <v>58</v>
      </c>
      <c r="C17" s="4" t="s">
        <v>59</v>
      </c>
      <c r="D17" s="4" t="s">
        <v>60</v>
      </c>
      <c r="E17" s="4" t="s">
        <v>61</v>
      </c>
      <c r="F17" s="2"/>
      <c r="G17" s="2"/>
      <c r="H17" s="2"/>
      <c r="I17" s="2"/>
      <c r="J17" s="2"/>
      <c r="K17" s="2"/>
    </row>
    <row r="18" customFormat="false" ht="15" hidden="false" customHeight="true" outlineLevel="0" collapsed="false">
      <c r="A18" s="2"/>
      <c r="B18" s="7" t="s">
        <v>62</v>
      </c>
      <c r="C18" s="14" t="n">
        <v>8</v>
      </c>
      <c r="D18" s="13" t="n">
        <v>150</v>
      </c>
      <c r="E18" s="14" t="n">
        <v>2</v>
      </c>
      <c r="F18" s="2"/>
      <c r="G18" s="2"/>
      <c r="H18" s="2"/>
      <c r="I18" s="2"/>
      <c r="J18" s="2"/>
      <c r="K18" s="2"/>
    </row>
    <row r="19" customFormat="false" ht="15" hidden="false" customHeight="true" outlineLevel="0" collapsed="false">
      <c r="A19" s="2"/>
      <c r="B19" s="7" t="s">
        <v>63</v>
      </c>
      <c r="C19" s="14" t="n">
        <v>12</v>
      </c>
      <c r="D19" s="13" t="n">
        <v>250</v>
      </c>
      <c r="E19" s="14" t="n">
        <v>2</v>
      </c>
      <c r="F19" s="2"/>
      <c r="G19" s="2"/>
      <c r="H19" s="2"/>
      <c r="I19" s="2"/>
      <c r="J19" s="2"/>
      <c r="K19" s="2"/>
    </row>
    <row r="20" customFormat="false" ht="15" hidden="false" customHeight="true" outlineLevel="0" collapsed="false">
      <c r="A20" s="2"/>
      <c r="B20" s="7" t="s">
        <v>64</v>
      </c>
      <c r="C20" s="14" t="n">
        <v>8</v>
      </c>
      <c r="D20" s="13" t="n">
        <v>350</v>
      </c>
      <c r="E20" s="14" t="n">
        <v>2</v>
      </c>
      <c r="F20" s="2"/>
      <c r="G20" s="2"/>
      <c r="H20" s="2"/>
      <c r="I20" s="2"/>
      <c r="J20" s="2"/>
      <c r="K20" s="2"/>
    </row>
    <row r="21" customFormat="false" ht="15" hidden="false" customHeight="true" outlineLevel="0" collapsed="false">
      <c r="A21" s="2"/>
      <c r="B21" s="7" t="s">
        <v>65</v>
      </c>
      <c r="C21" s="14" t="n">
        <v>4</v>
      </c>
      <c r="D21" s="13" t="n">
        <v>400</v>
      </c>
      <c r="E21" s="14" t="n">
        <v>2</v>
      </c>
      <c r="F21" s="2"/>
      <c r="G21" s="2"/>
      <c r="H21" s="2"/>
      <c r="I21" s="2"/>
      <c r="J21" s="2"/>
      <c r="K21" s="2"/>
    </row>
    <row r="22" customFormat="false" ht="15" hidden="false" customHeight="true" outlineLevel="0" collapsed="false">
      <c r="A22" s="2"/>
      <c r="B22" s="7" t="s">
        <v>66</v>
      </c>
      <c r="C22" s="14" t="n">
        <v>2</v>
      </c>
      <c r="D22" s="13" t="n">
        <v>550</v>
      </c>
      <c r="E22" s="14" t="n">
        <v>4</v>
      </c>
      <c r="F22" s="2"/>
      <c r="G22" s="2"/>
      <c r="H22" s="2"/>
      <c r="I22" s="2"/>
      <c r="J22" s="2"/>
      <c r="K22" s="2"/>
    </row>
    <row r="23" customFormat="false" ht="15" hidden="false" customHeight="true" outlineLevel="0" collapsed="false">
      <c r="A23" s="2"/>
      <c r="B23" s="7" t="s">
        <v>67</v>
      </c>
      <c r="C23" s="14" t="n">
        <v>1</v>
      </c>
      <c r="D23" s="13" t="n">
        <v>650</v>
      </c>
      <c r="E23" s="14" t="n">
        <v>4</v>
      </c>
      <c r="F23" s="2"/>
      <c r="G23" s="2"/>
      <c r="H23" s="2"/>
      <c r="I23" s="2"/>
      <c r="J23" s="2"/>
      <c r="K23" s="2"/>
    </row>
    <row r="24" customFormat="false" ht="15" hidden="false" customHeight="true" outlineLevel="0" collapsed="false">
      <c r="A24" s="2"/>
      <c r="B24" s="15" t="s">
        <v>68</v>
      </c>
      <c r="C24" s="16" t="n">
        <f aca="false">SUM(C18:C23)</f>
        <v>35</v>
      </c>
      <c r="D24" s="2"/>
      <c r="E24" s="2"/>
      <c r="F24" s="2"/>
      <c r="G24" s="2"/>
      <c r="H24" s="2"/>
      <c r="I24" s="2"/>
      <c r="J24" s="2"/>
      <c r="K24" s="2"/>
    </row>
    <row r="25" customFormat="false" ht="15" hidden="false" customHeight="true" outlineLevel="0" collapsed="false">
      <c r="A25" s="2"/>
      <c r="B25" s="15" t="s">
        <v>69</v>
      </c>
      <c r="C25" s="16" t="n">
        <f aca="false">SUMPRODUCT(C18:C23,E18:E23)</f>
        <v>76</v>
      </c>
      <c r="D25" s="2"/>
      <c r="E25" s="4" t="s">
        <v>70</v>
      </c>
      <c r="F25" s="2"/>
      <c r="G25" s="2"/>
      <c r="H25" s="2"/>
      <c r="I25" s="2"/>
      <c r="J25" s="2"/>
      <c r="K25" s="2"/>
    </row>
    <row r="26" customFormat="false" ht="15" hidden="false" customHeight="true" outlineLevel="0" collapsed="false">
      <c r="A26" s="2"/>
      <c r="B26" s="15" t="s">
        <v>71</v>
      </c>
      <c r="C26" s="17" t="n">
        <f aca="false">SUMPRODUCT(C18:C23,D18:D23)</f>
        <v>10350</v>
      </c>
      <c r="D26" s="2"/>
      <c r="E26" s="4" t="s">
        <v>72</v>
      </c>
      <c r="F26" s="2"/>
      <c r="G26" s="2"/>
      <c r="H26" s="2"/>
      <c r="I26" s="2"/>
      <c r="J26" s="2"/>
      <c r="K26" s="2"/>
    </row>
    <row r="27" customFormat="false" ht="15" hidden="false" customHeight="true" outlineLevel="0" collapsed="false">
      <c r="A27" s="2"/>
      <c r="B27" s="7" t="s">
        <v>73</v>
      </c>
      <c r="C27" s="18" t="n">
        <v>2</v>
      </c>
      <c r="D27" s="2"/>
      <c r="E27" s="4" t="s">
        <v>74</v>
      </c>
      <c r="F27" s="2"/>
      <c r="G27" s="2"/>
      <c r="H27" s="2"/>
      <c r="I27" s="2"/>
      <c r="J27" s="2"/>
      <c r="K27" s="2"/>
    </row>
    <row r="28" customFormat="false" ht="15" hidden="false" customHeight="true" outlineLevel="0" collapsed="false">
      <c r="A28" s="2"/>
      <c r="B28" s="7" t="s">
        <v>75</v>
      </c>
      <c r="C28" s="14" t="n">
        <v>7</v>
      </c>
      <c r="D28" s="2"/>
      <c r="E28" s="4" t="s">
        <v>76</v>
      </c>
      <c r="F28" s="2"/>
      <c r="G28" s="2"/>
      <c r="H28" s="2"/>
      <c r="I28" s="2"/>
      <c r="J28" s="2"/>
      <c r="K28" s="2"/>
    </row>
    <row r="29" customFormat="false" ht="15" hidden="false" customHeight="true" outlineLevel="0" collapsed="false">
      <c r="A29" s="2"/>
      <c r="B29" s="7" t="s">
        <v>77</v>
      </c>
      <c r="C29" s="19" t="n">
        <v>3782</v>
      </c>
      <c r="D29" s="2"/>
      <c r="E29" s="2"/>
      <c r="F29" s="2"/>
      <c r="G29" s="2"/>
      <c r="H29" s="2"/>
      <c r="I29" s="2"/>
      <c r="J29" s="2"/>
      <c r="K29" s="2"/>
    </row>
    <row r="30" customFormat="false" ht="15" hidden="false" customHeight="true" outlineLevel="0" collapsed="false">
      <c r="A30" s="2"/>
      <c r="B30" s="7" t="s">
        <v>78</v>
      </c>
      <c r="C30" s="14" t="n">
        <v>24</v>
      </c>
      <c r="D30" s="2"/>
      <c r="E30" s="4" t="s">
        <v>79</v>
      </c>
      <c r="F30" s="2"/>
      <c r="G30" s="2"/>
      <c r="H30" s="2"/>
      <c r="I30" s="2"/>
      <c r="J30" s="2"/>
      <c r="K30" s="2"/>
    </row>
    <row r="31" customFormat="false" ht="15" hidden="false" customHeight="true" outlineLevel="0" collapsed="false">
      <c r="A31" s="2"/>
      <c r="B31" s="5" t="s">
        <v>80</v>
      </c>
      <c r="C31" s="6"/>
      <c r="D31" s="6"/>
      <c r="E31" s="6"/>
      <c r="F31" s="6"/>
      <c r="G31" s="6"/>
      <c r="H31" s="6"/>
      <c r="I31" s="6"/>
      <c r="J31" s="6"/>
      <c r="K31" s="2"/>
    </row>
    <row r="32" customFormat="false" ht="15" hidden="false" customHeight="true" outlineLevel="0" collapsed="false">
      <c r="A32" s="2"/>
      <c r="B32" s="4" t="s">
        <v>81</v>
      </c>
      <c r="C32" s="2"/>
      <c r="D32" s="2"/>
      <c r="E32" s="2"/>
      <c r="F32" s="2"/>
      <c r="G32" s="2"/>
      <c r="H32" s="2"/>
      <c r="I32" s="2"/>
      <c r="J32" s="2"/>
      <c r="K32" s="2"/>
    </row>
    <row r="33" customFormat="false" ht="15" hidden="false" customHeight="true" outlineLevel="0" collapsed="false">
      <c r="A33" s="2"/>
      <c r="B33" s="7" t="s">
        <v>82</v>
      </c>
      <c r="C33" s="13" t="n">
        <v>80</v>
      </c>
      <c r="D33" s="2"/>
      <c r="E33" s="4" t="s">
        <v>83</v>
      </c>
      <c r="F33" s="2"/>
      <c r="G33" s="2"/>
      <c r="H33" s="2"/>
      <c r="I33" s="2"/>
      <c r="J33" s="2"/>
      <c r="K33" s="2"/>
    </row>
    <row r="34" customFormat="false" ht="15" hidden="false" customHeight="true" outlineLevel="0" collapsed="false">
      <c r="A34" s="2"/>
      <c r="B34" s="7" t="s">
        <v>84</v>
      </c>
      <c r="C34" s="13" t="n">
        <v>80</v>
      </c>
      <c r="D34" s="2"/>
      <c r="E34" s="4" t="s">
        <v>85</v>
      </c>
      <c r="F34" s="2"/>
      <c r="G34" s="2"/>
      <c r="H34" s="2"/>
      <c r="I34" s="2"/>
      <c r="J34" s="2"/>
      <c r="K34" s="2"/>
    </row>
    <row r="35" customFormat="false" ht="15" hidden="false" customHeight="true" outlineLevel="0" collapsed="false">
      <c r="A35" s="2"/>
      <c r="B35" s="7" t="s">
        <v>86</v>
      </c>
      <c r="C35" s="14" t="n">
        <v>10</v>
      </c>
      <c r="D35" s="2"/>
      <c r="E35" s="2"/>
      <c r="F35" s="2"/>
      <c r="G35" s="2"/>
      <c r="H35" s="2"/>
      <c r="I35" s="2"/>
      <c r="J35" s="2"/>
      <c r="K35" s="2"/>
    </row>
    <row r="36" customFormat="false" ht="15" hidden="false" customHeight="true" outlineLevel="0" collapsed="false">
      <c r="A36" s="2"/>
      <c r="B36" s="7" t="s">
        <v>87</v>
      </c>
      <c r="C36" s="13" t="n">
        <v>15000</v>
      </c>
      <c r="D36" s="2"/>
      <c r="E36" s="4" t="s">
        <v>88</v>
      </c>
      <c r="F36" s="2"/>
      <c r="G36" s="2"/>
      <c r="H36" s="2"/>
      <c r="I36" s="2"/>
      <c r="J36" s="2"/>
      <c r="K36" s="2"/>
    </row>
    <row r="37" customFormat="false" ht="15" hidden="false" customHeight="true" outlineLevel="0" collapsed="false">
      <c r="A37" s="2"/>
      <c r="B37" s="7" t="s">
        <v>89</v>
      </c>
      <c r="C37" s="13" t="n">
        <v>50000</v>
      </c>
      <c r="D37" s="2"/>
      <c r="E37" s="4" t="s">
        <v>90</v>
      </c>
      <c r="F37" s="2"/>
      <c r="G37" s="2"/>
      <c r="H37" s="2"/>
      <c r="I37" s="2"/>
      <c r="J37" s="2"/>
      <c r="K37" s="2"/>
    </row>
    <row r="38" customFormat="false" ht="15" hidden="false" customHeight="true" outlineLevel="0" collapsed="false">
      <c r="A38" s="2"/>
      <c r="B38" s="5" t="s">
        <v>91</v>
      </c>
      <c r="C38" s="6"/>
      <c r="D38" s="6"/>
      <c r="E38" s="6"/>
      <c r="F38" s="6"/>
      <c r="G38" s="6"/>
      <c r="H38" s="6"/>
      <c r="I38" s="6"/>
      <c r="J38" s="6"/>
      <c r="K38" s="2"/>
    </row>
    <row r="39" customFormat="false" ht="15" hidden="false" customHeight="true" outlineLevel="0" collapsed="false">
      <c r="A39" s="2"/>
      <c r="B39" s="7" t="s">
        <v>92</v>
      </c>
      <c r="C39" s="13" t="n">
        <v>6000</v>
      </c>
      <c r="D39" s="2"/>
      <c r="E39" s="4" t="s">
        <v>93</v>
      </c>
      <c r="F39" s="2"/>
      <c r="G39" s="2"/>
      <c r="H39" s="2"/>
      <c r="I39" s="2"/>
      <c r="J39" s="2"/>
      <c r="K39" s="2"/>
    </row>
    <row r="40" customFormat="false" ht="15" hidden="false" customHeight="true" outlineLevel="0" collapsed="false">
      <c r="A40" s="2"/>
      <c r="B40" s="7" t="s">
        <v>94</v>
      </c>
      <c r="C40" s="13" t="n">
        <v>40000</v>
      </c>
      <c r="D40" s="2"/>
      <c r="E40" s="4" t="s">
        <v>95</v>
      </c>
      <c r="F40" s="2"/>
      <c r="G40" s="2"/>
      <c r="H40" s="2"/>
      <c r="I40" s="2"/>
      <c r="J40" s="2"/>
      <c r="K40" s="2"/>
    </row>
    <row r="41" customFormat="false" ht="15" hidden="false" customHeight="true" outlineLevel="0" collapsed="false">
      <c r="A41" s="2"/>
      <c r="B41" s="7" t="s">
        <v>96</v>
      </c>
      <c r="C41" s="13" t="n">
        <v>150000</v>
      </c>
      <c r="D41" s="2"/>
      <c r="E41" s="4" t="s">
        <v>97</v>
      </c>
      <c r="F41" s="2"/>
      <c r="G41" s="2"/>
      <c r="H41" s="2"/>
      <c r="I41" s="2"/>
      <c r="J41" s="2"/>
      <c r="K41" s="2"/>
    </row>
    <row r="42" customFormat="false" ht="15" hidden="false" customHeight="true" outlineLevel="0" collapsed="false">
      <c r="A42" s="2"/>
      <c r="B42" s="7" t="s">
        <v>98</v>
      </c>
      <c r="C42" s="10" t="n">
        <v>0.17</v>
      </c>
      <c r="D42" s="2"/>
      <c r="E42" s="4" t="s">
        <v>99</v>
      </c>
      <c r="F42" s="2"/>
      <c r="G42" s="2"/>
      <c r="H42" s="2"/>
      <c r="I42" s="2"/>
      <c r="J42" s="2"/>
      <c r="K42" s="2"/>
    </row>
    <row r="43" customFormat="false" ht="15" hidden="false" customHeight="true" outlineLevel="0" collapsed="false">
      <c r="A43" s="2"/>
      <c r="B43" s="7" t="s">
        <v>100</v>
      </c>
      <c r="C43" s="10" t="n">
        <v>0.45</v>
      </c>
      <c r="D43" s="2"/>
      <c r="E43" s="4" t="s">
        <v>101</v>
      </c>
      <c r="F43" s="2"/>
      <c r="G43" s="2"/>
      <c r="H43" s="2"/>
      <c r="I43" s="2"/>
      <c r="J43" s="2"/>
      <c r="K43" s="2"/>
    </row>
    <row r="44" customFormat="false" ht="15" hidden="false" customHeight="true" outlineLevel="0" collapsed="false">
      <c r="A44" s="2"/>
      <c r="B44" s="7" t="s">
        <v>102</v>
      </c>
      <c r="C44" s="13" t="n">
        <v>24000</v>
      </c>
      <c r="D44" s="2"/>
      <c r="E44" s="4" t="s">
        <v>103</v>
      </c>
      <c r="F44" s="2"/>
      <c r="G44" s="2"/>
      <c r="H44" s="2"/>
      <c r="I44" s="2"/>
      <c r="J44" s="2"/>
      <c r="K44" s="2"/>
    </row>
    <row r="45" customFormat="false" ht="15" hidden="false" customHeight="true" outlineLevel="0" collapsed="false">
      <c r="A45" s="2"/>
      <c r="B45" s="7" t="s">
        <v>104</v>
      </c>
      <c r="C45" s="13" t="n">
        <v>6000</v>
      </c>
      <c r="D45" s="2"/>
      <c r="E45" s="4" t="s">
        <v>105</v>
      </c>
      <c r="F45" s="2"/>
      <c r="G45" s="2"/>
      <c r="H45" s="2"/>
      <c r="I45" s="2"/>
      <c r="J45" s="2"/>
      <c r="K45" s="2"/>
    </row>
    <row r="46" customFormat="false" ht="15" hidden="false" customHeight="true" outlineLevel="0" collapsed="false">
      <c r="A46" s="2"/>
      <c r="B46" s="7" t="s">
        <v>106</v>
      </c>
      <c r="C46" s="13" t="n">
        <v>15000</v>
      </c>
      <c r="D46" s="2"/>
      <c r="E46" s="4" t="s">
        <v>107</v>
      </c>
      <c r="F46" s="2"/>
      <c r="G46" s="2"/>
      <c r="H46" s="2"/>
      <c r="I46" s="2"/>
      <c r="J46" s="2"/>
      <c r="K46" s="2"/>
    </row>
    <row r="47" customFormat="false" ht="15" hidden="false" customHeight="true" outlineLevel="0" collapsed="false">
      <c r="A47" s="2"/>
      <c r="B47" s="7" t="s">
        <v>108</v>
      </c>
      <c r="C47" s="13" t="n">
        <v>12000</v>
      </c>
      <c r="D47" s="2"/>
      <c r="E47" s="4" t="s">
        <v>109</v>
      </c>
      <c r="F47" s="2"/>
      <c r="G47" s="2"/>
      <c r="H47" s="2"/>
      <c r="I47" s="2"/>
      <c r="J47" s="2"/>
      <c r="K47" s="2"/>
    </row>
    <row r="48" customFormat="false" ht="15" hidden="false" customHeight="true" outlineLevel="0" collapsed="false">
      <c r="A48" s="2"/>
      <c r="B48" s="7" t="s">
        <v>110</v>
      </c>
      <c r="C48" s="10" t="n">
        <v>0.02</v>
      </c>
      <c r="D48" s="2"/>
      <c r="E48" s="4" t="s">
        <v>111</v>
      </c>
      <c r="F48" s="2"/>
      <c r="G48" s="2"/>
      <c r="H48" s="2"/>
      <c r="I48" s="2"/>
      <c r="J48" s="2"/>
      <c r="K48" s="2"/>
    </row>
    <row r="49" customFormat="false" ht="15" hidden="false" customHeight="true" outlineLevel="0" collapsed="false">
      <c r="A49" s="2"/>
      <c r="B49" s="5" t="s">
        <v>112</v>
      </c>
      <c r="C49" s="6"/>
      <c r="D49" s="6"/>
      <c r="E49" s="6"/>
      <c r="F49" s="6"/>
      <c r="G49" s="6"/>
      <c r="H49" s="6"/>
      <c r="I49" s="6"/>
      <c r="J49" s="6"/>
      <c r="K49" s="2"/>
    </row>
    <row r="50" customFormat="false" ht="15" hidden="false" customHeight="true" outlineLevel="0" collapsed="false">
      <c r="A50" s="2"/>
      <c r="B50" s="4" t="s">
        <v>113</v>
      </c>
      <c r="C50" s="2"/>
      <c r="D50" s="2"/>
      <c r="E50" s="2"/>
      <c r="F50" s="2"/>
      <c r="G50" s="2"/>
      <c r="H50" s="2"/>
      <c r="I50" s="2"/>
      <c r="J50" s="2"/>
      <c r="K50" s="2"/>
    </row>
    <row r="51" customFormat="false" ht="15" hidden="false" customHeight="true" outlineLevel="0" collapsed="false">
      <c r="A51" s="2"/>
      <c r="B51" s="4" t="s">
        <v>114</v>
      </c>
      <c r="C51" s="2"/>
      <c r="D51" s="2"/>
      <c r="E51" s="2"/>
      <c r="F51" s="2"/>
      <c r="G51" s="2"/>
      <c r="H51" s="2"/>
      <c r="I51" s="2"/>
      <c r="J51" s="2"/>
      <c r="K51" s="2"/>
    </row>
    <row r="52" customFormat="false" ht="15" hidden="false" customHeight="true" outlineLevel="0" collapsed="false">
      <c r="A52" s="2"/>
      <c r="B52" s="7" t="s">
        <v>115</v>
      </c>
      <c r="C52" s="14" t="n">
        <v>15</v>
      </c>
      <c r="D52" s="2"/>
      <c r="E52" s="4" t="s">
        <v>116</v>
      </c>
      <c r="F52" s="2"/>
      <c r="G52" s="2"/>
      <c r="H52" s="2"/>
      <c r="I52" s="2"/>
      <c r="J52" s="2"/>
      <c r="K52" s="2"/>
    </row>
    <row r="53" customFormat="false" ht="15" hidden="false" customHeight="true" outlineLevel="0" collapsed="false">
      <c r="A53" s="2"/>
      <c r="B53" s="7" t="s">
        <v>117</v>
      </c>
      <c r="C53" s="14" t="n">
        <v>15</v>
      </c>
      <c r="D53" s="2"/>
      <c r="E53" s="2"/>
      <c r="F53" s="2"/>
      <c r="G53" s="2"/>
      <c r="H53" s="2"/>
      <c r="I53" s="2"/>
      <c r="J53" s="2"/>
      <c r="K53" s="2"/>
    </row>
    <row r="54" customFormat="false" ht="15" hidden="false" customHeight="true" outlineLevel="0" collapsed="false">
      <c r="A54" s="2"/>
      <c r="B54" s="7" t="s">
        <v>118</v>
      </c>
      <c r="C54" s="14" t="n">
        <v>10</v>
      </c>
      <c r="D54" s="2"/>
      <c r="E54" s="2"/>
      <c r="F54" s="2"/>
      <c r="G54" s="2"/>
      <c r="H54" s="2"/>
      <c r="I54" s="2"/>
      <c r="J54" s="2"/>
      <c r="K54" s="2"/>
    </row>
    <row r="55" customFormat="false" ht="15" hidden="false" customHeight="true" outlineLevel="0" collapsed="false">
      <c r="A55" s="2"/>
      <c r="B55" s="7" t="s">
        <v>119</v>
      </c>
      <c r="C55" s="14" t="n">
        <v>40</v>
      </c>
      <c r="D55" s="2"/>
      <c r="E55" s="2"/>
      <c r="F55" s="2"/>
      <c r="G55" s="2"/>
      <c r="H55" s="2"/>
      <c r="I55" s="2"/>
      <c r="J55" s="2"/>
      <c r="K55" s="2"/>
    </row>
    <row r="56" customFormat="false" ht="15" hidden="false" customHeight="true" outlineLevel="0" collapsed="false">
      <c r="A56" s="2"/>
      <c r="B56" s="7" t="s">
        <v>120</v>
      </c>
      <c r="C56" s="13" t="n">
        <v>2617268</v>
      </c>
      <c r="D56" s="2"/>
      <c r="E56" s="4" t="s">
        <v>121</v>
      </c>
      <c r="F56" s="2"/>
      <c r="G56" s="2"/>
      <c r="H56" s="2"/>
      <c r="I56" s="2"/>
      <c r="J56" s="2"/>
      <c r="K56" s="2"/>
    </row>
    <row r="57" customFormat="false" ht="15" hidden="false" customHeight="true" outlineLevel="0" collapsed="false">
      <c r="A57" s="2"/>
      <c r="B57" s="7" t="s">
        <v>122</v>
      </c>
      <c r="C57" s="13" t="n">
        <v>2340000</v>
      </c>
      <c r="D57" s="2"/>
      <c r="E57" s="4" t="s">
        <v>123</v>
      </c>
      <c r="F57" s="2"/>
      <c r="G57" s="2"/>
      <c r="H57" s="2"/>
      <c r="I57" s="2"/>
      <c r="J57" s="2"/>
      <c r="K57" s="2"/>
    </row>
    <row r="58" customFormat="false" ht="15" hidden="false" customHeight="true" outlineLevel="0" collapsed="false">
      <c r="A58" s="2"/>
      <c r="B58" s="7" t="s">
        <v>124</v>
      </c>
      <c r="C58" s="13" t="n">
        <v>150000</v>
      </c>
      <c r="D58" s="2"/>
      <c r="E58" s="4" t="s">
        <v>125</v>
      </c>
      <c r="F58" s="2"/>
      <c r="G58" s="2"/>
      <c r="H58" s="2"/>
      <c r="I58" s="2"/>
      <c r="J58" s="2"/>
      <c r="K58" s="2"/>
    </row>
    <row r="59" customFormat="false" ht="15" hidden="false" customHeight="true" outlineLevel="0" collapsed="false">
      <c r="A59" s="2"/>
      <c r="B59" s="7" t="s">
        <v>126</v>
      </c>
      <c r="C59" s="13" t="n">
        <v>100000</v>
      </c>
      <c r="D59" s="2"/>
      <c r="E59" s="4" t="s">
        <v>127</v>
      </c>
      <c r="F59" s="2"/>
      <c r="G59" s="2"/>
      <c r="H59" s="2"/>
      <c r="I59" s="2"/>
      <c r="J59" s="2"/>
      <c r="K59" s="2"/>
    </row>
    <row r="60" customFormat="false" ht="15" hidden="false" customHeight="true" outlineLevel="0" collapsed="false">
      <c r="A60" s="2"/>
      <c r="B60" s="7" t="s">
        <v>128</v>
      </c>
      <c r="C60" s="13" t="n">
        <v>700000</v>
      </c>
      <c r="D60" s="2"/>
      <c r="E60" s="4" t="s">
        <v>129</v>
      </c>
      <c r="F60" s="2"/>
      <c r="G60" s="2"/>
      <c r="H60" s="2"/>
      <c r="I60" s="2"/>
      <c r="J60" s="2"/>
      <c r="K60" s="2"/>
    </row>
    <row r="61" customFormat="false" ht="15" hidden="false" customHeight="true" outlineLevel="0" collapsed="false">
      <c r="A61" s="2"/>
      <c r="B61" s="7" t="s">
        <v>130</v>
      </c>
      <c r="C61" s="13" t="n">
        <v>7600000</v>
      </c>
      <c r="D61" s="2"/>
      <c r="E61" s="4" t="s">
        <v>131</v>
      </c>
      <c r="F61" s="2"/>
      <c r="G61" s="2"/>
      <c r="H61" s="2"/>
      <c r="I61" s="2"/>
      <c r="J61" s="2"/>
      <c r="K61" s="2"/>
    </row>
    <row r="62" customFormat="false" ht="15" hidden="false" customHeight="true" outlineLevel="0" collapsed="false">
      <c r="A62" s="2"/>
      <c r="B62" s="7" t="s">
        <v>132</v>
      </c>
      <c r="C62" s="10" t="n">
        <v>0.2</v>
      </c>
      <c r="D62" s="2"/>
      <c r="E62" s="4" t="s">
        <v>133</v>
      </c>
      <c r="F62" s="2"/>
      <c r="G62" s="2"/>
      <c r="H62" s="2"/>
      <c r="I62" s="2"/>
      <c r="J62" s="2"/>
      <c r="K62" s="2"/>
    </row>
    <row r="63" customFormat="false" ht="15" hidden="false" customHeight="true" outlineLevel="0" collapsed="false">
      <c r="A63" s="2"/>
      <c r="B63" s="5" t="s">
        <v>134</v>
      </c>
      <c r="C63" s="6"/>
      <c r="D63" s="6"/>
      <c r="E63" s="6"/>
      <c r="F63" s="6"/>
      <c r="G63" s="6"/>
      <c r="H63" s="6"/>
      <c r="I63" s="6"/>
      <c r="J63" s="6"/>
      <c r="K63" s="2"/>
    </row>
    <row r="64" customFormat="false" ht="15" hidden="false" customHeight="true" outlineLevel="0" collapsed="false">
      <c r="A64" s="2"/>
      <c r="B64" s="4" t="s">
        <v>135</v>
      </c>
      <c r="C64" s="2"/>
      <c r="D64" s="2"/>
      <c r="E64" s="2"/>
      <c r="F64" s="2"/>
      <c r="G64" s="2"/>
      <c r="H64" s="2"/>
      <c r="I64" s="2"/>
      <c r="J64" s="2"/>
      <c r="K64" s="2"/>
    </row>
    <row r="65" customFormat="false" ht="15" hidden="false" customHeight="true" outlineLevel="0" collapsed="false">
      <c r="A65" s="2"/>
      <c r="B65" s="20" t="s">
        <v>136</v>
      </c>
      <c r="C65" s="21" t="n">
        <v>4576</v>
      </c>
      <c r="D65" s="21" t="n">
        <v>2027</v>
      </c>
      <c r="E65" s="21" t="n">
        <v>2028</v>
      </c>
      <c r="F65" s="21" t="n">
        <v>2029</v>
      </c>
      <c r="G65" s="21" t="n">
        <v>2030</v>
      </c>
      <c r="H65" s="21" t="n">
        <v>2031</v>
      </c>
      <c r="I65" s="21" t="n">
        <v>2032</v>
      </c>
      <c r="J65" s="21" t="n">
        <v>2033</v>
      </c>
      <c r="K65" s="2"/>
    </row>
    <row r="66" customFormat="false" ht="15" hidden="false" customHeight="true" outlineLevel="0" collapsed="false">
      <c r="A66" s="2"/>
      <c r="B66" s="7" t="s">
        <v>137</v>
      </c>
      <c r="C66" s="10" t="n">
        <v>0</v>
      </c>
      <c r="D66" s="10" t="n">
        <v>0.1</v>
      </c>
      <c r="E66" s="10" t="n">
        <v>0.25</v>
      </c>
      <c r="F66" s="10" t="n">
        <v>0.4</v>
      </c>
      <c r="G66" s="10" t="n">
        <v>0.5</v>
      </c>
      <c r="H66" s="10" t="n">
        <v>0.55</v>
      </c>
      <c r="I66" s="10" t="n">
        <v>0.55</v>
      </c>
      <c r="J66" s="10" t="n">
        <v>0.55</v>
      </c>
      <c r="K66" s="2"/>
    </row>
    <row r="67" customFormat="false" ht="15" hidden="false" customHeight="true" outlineLevel="0" collapsed="false">
      <c r="A67" s="2"/>
      <c r="B67" s="7" t="s">
        <v>138</v>
      </c>
      <c r="C67" s="10" t="n">
        <v>0</v>
      </c>
      <c r="D67" s="10" t="n">
        <v>1</v>
      </c>
      <c r="E67" s="10" t="n">
        <v>1</v>
      </c>
      <c r="F67" s="10" t="n">
        <v>1</v>
      </c>
      <c r="G67" s="10" t="n">
        <v>1</v>
      </c>
      <c r="H67" s="10" t="n">
        <v>1</v>
      </c>
      <c r="I67" s="10" t="n">
        <v>1</v>
      </c>
      <c r="J67" s="10" t="n">
        <v>1</v>
      </c>
      <c r="K67" s="2"/>
    </row>
    <row r="68" customFormat="false" ht="15" hidden="false" customHeight="true" outlineLevel="0" collapsed="false">
      <c r="A68" s="2"/>
      <c r="B68" s="5" t="s">
        <v>139</v>
      </c>
      <c r="C68" s="6"/>
      <c r="D68" s="6"/>
      <c r="E68" s="6"/>
      <c r="F68" s="6"/>
      <c r="G68" s="6"/>
      <c r="H68" s="6"/>
      <c r="I68" s="6"/>
      <c r="J68" s="6"/>
      <c r="K68" s="2"/>
    </row>
    <row r="69" customFormat="false" ht="15" hidden="false" customHeight="true" outlineLevel="0" collapsed="false">
      <c r="A69" s="2"/>
      <c r="B69" s="4" t="s">
        <v>140</v>
      </c>
      <c r="C69" s="2"/>
      <c r="D69" s="2"/>
      <c r="E69" s="2"/>
      <c r="F69" s="2"/>
      <c r="G69" s="2"/>
      <c r="H69" s="2"/>
      <c r="I69" s="2"/>
      <c r="J69" s="2"/>
      <c r="K69" s="2"/>
    </row>
    <row r="70" customFormat="false" ht="15" hidden="false" customHeight="true" outlineLevel="0" collapsed="false">
      <c r="A70" s="2"/>
      <c r="B70" s="4" t="s">
        <v>141</v>
      </c>
      <c r="C70" s="2"/>
      <c r="D70" s="2"/>
      <c r="E70" s="2"/>
      <c r="F70" s="2"/>
      <c r="G70" s="2"/>
      <c r="H70" s="2"/>
      <c r="I70" s="2"/>
      <c r="J70" s="2"/>
      <c r="K70" s="2"/>
    </row>
    <row r="71" customFormat="false" ht="15" hidden="false" customHeight="true" outlineLevel="0" collapsed="false">
      <c r="A71" s="2"/>
      <c r="B71" s="4" t="s">
        <v>142</v>
      </c>
      <c r="C71" s="2"/>
      <c r="D71" s="2"/>
      <c r="E71" s="2"/>
      <c r="F71" s="2"/>
      <c r="G71" s="2"/>
      <c r="H71" s="2"/>
      <c r="I71" s="2"/>
      <c r="J71" s="2"/>
      <c r="K71" s="2"/>
    </row>
    <row r="72" customFormat="false" ht="15" hidden="false" customHeight="true" outlineLevel="0" collapsed="false">
      <c r="A72" s="2"/>
      <c r="B72" s="4" t="s">
        <v>143</v>
      </c>
      <c r="C72" s="2"/>
      <c r="D72" s="2"/>
      <c r="E72" s="2"/>
      <c r="F72" s="2"/>
      <c r="G72" s="2"/>
      <c r="H72" s="2"/>
      <c r="I72" s="2"/>
      <c r="J72" s="2"/>
      <c r="K72" s="2"/>
    </row>
    <row r="73" customFormat="false" ht="15" hidden="false" customHeight="true" outlineLevel="0" collapsed="fals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customFormat="false" ht="15" hidden="false" customHeight="true" outlineLevel="0" collapsed="fals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</sheetData>
  <mergeCells count="1">
    <mergeCell ref="B1:J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3C2E"/>
    <pageSetUpPr fitToPage="false"/>
  </sheetPr>
  <dimension ref="A1:K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30" activeCellId="0" sqref="D30"/>
    </sheetView>
  </sheetViews>
  <sheetFormatPr defaultColWidth="8.66796875" defaultRowHeight="15" customHeight="fals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44"/>
    <col collapsed="false" customWidth="true" hidden="false" outlineLevel="0" max="10" min="3" style="1" width="13"/>
    <col collapsed="false" customWidth="true" hidden="false" outlineLevel="0" max="11" min="11" style="1" width="30"/>
  </cols>
  <sheetData>
    <row r="1" customFormat="false" ht="31.5" hidden="false" customHeight="true" outlineLevel="0" collapsed="false">
      <c r="A1" s="2"/>
      <c r="B1" s="3" t="s">
        <v>144</v>
      </c>
      <c r="C1" s="3"/>
      <c r="D1" s="3"/>
      <c r="E1" s="3"/>
      <c r="F1" s="3"/>
      <c r="G1" s="3"/>
      <c r="H1" s="3"/>
      <c r="I1" s="3"/>
      <c r="J1" s="3"/>
      <c r="K1" s="2"/>
    </row>
    <row r="2" customFormat="false" ht="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15" hidden="false" customHeight="true" outlineLevel="0" collapsed="false">
      <c r="A3" s="2"/>
      <c r="B3" s="20"/>
      <c r="C3" s="21" t="n">
        <v>2026</v>
      </c>
      <c r="D3" s="21" t="n">
        <v>2027</v>
      </c>
      <c r="E3" s="21" t="n">
        <v>2028</v>
      </c>
      <c r="F3" s="21" t="n">
        <v>2029</v>
      </c>
      <c r="G3" s="21" t="n">
        <v>2030</v>
      </c>
      <c r="H3" s="21" t="n">
        <v>2031</v>
      </c>
      <c r="I3" s="21" t="n">
        <v>2032</v>
      </c>
      <c r="J3" s="21" t="n">
        <v>2033</v>
      </c>
      <c r="K3" s="2"/>
    </row>
    <row r="4" customFormat="false" ht="15" hidden="false" customHeight="true" outlineLevel="0" collapsed="false">
      <c r="A4" s="2"/>
      <c r="B4" s="7" t="s">
        <v>137</v>
      </c>
      <c r="C4" s="22" t="n">
        <f aca="false">Assumptions!C66</f>
        <v>0</v>
      </c>
      <c r="D4" s="22" t="n">
        <f aca="false">Assumptions!D66</f>
        <v>0.1</v>
      </c>
      <c r="E4" s="22" t="n">
        <f aca="false">Assumptions!E66</f>
        <v>0.25</v>
      </c>
      <c r="F4" s="22" t="n">
        <f aca="false">Assumptions!F66</f>
        <v>0.4</v>
      </c>
      <c r="G4" s="22" t="n">
        <f aca="false">Assumptions!G66</f>
        <v>0.5</v>
      </c>
      <c r="H4" s="22" t="n">
        <f aca="false">Assumptions!H66</f>
        <v>0.55</v>
      </c>
      <c r="I4" s="22" t="n">
        <f aca="false">Assumptions!I66</f>
        <v>0.55</v>
      </c>
      <c r="J4" s="22" t="n">
        <f aca="false">Assumptions!J66</f>
        <v>0.55</v>
      </c>
      <c r="K4" s="2"/>
    </row>
    <row r="5" customFormat="false" ht="15" hidden="false" customHeight="true" outlineLevel="0" collapsed="false">
      <c r="A5" s="2"/>
      <c r="B5" s="7" t="s">
        <v>145</v>
      </c>
      <c r="C5" s="17" t="n">
        <f aca="false">Assumptions!$C$26*C4*365*(1+Assumptions!$C$11)^(C$3-2026)</f>
        <v>0</v>
      </c>
      <c r="D5" s="17" t="n">
        <f aca="false">Assumptions!$C$26*D4*365*(1+Assumptions!$C$11)^(D$3-2026)</f>
        <v>385330.5</v>
      </c>
      <c r="E5" s="17" t="n">
        <f aca="false">Assumptions!$C$26*E4*365*(1+Assumptions!$C$11)^(E$3-2026)</f>
        <v>982592.775</v>
      </c>
      <c r="F5" s="17" t="n">
        <f aca="false">Assumptions!$C$26*F4*365*(1+Assumptions!$C$11)^(F$3-2026)</f>
        <v>1603591.4088</v>
      </c>
      <c r="G5" s="17" t="n">
        <f aca="false">Assumptions!$C$26*G4*365*(1+Assumptions!$C$11)^(G$3-2026)</f>
        <v>2044579.04622</v>
      </c>
      <c r="H5" s="17" t="n">
        <f aca="false">Assumptions!$C$26*H4*365*(1+Assumptions!$C$11)^(H$3-2026)</f>
        <v>2294017.68985884</v>
      </c>
      <c r="I5" s="17" t="n">
        <f aca="false">Assumptions!$C$26*I4*365*(1+Assumptions!$C$11)^(I$3-2026)</f>
        <v>2339898.04365602</v>
      </c>
      <c r="J5" s="17" t="n">
        <f aca="false">Assumptions!$C$26*J4*365*(1+Assumptions!$C$11)^(J$3-2026)</f>
        <v>2386696.00452914</v>
      </c>
      <c r="K5" s="2"/>
    </row>
    <row r="6" customFormat="false" ht="15" hidden="false" customHeight="true" outlineLevel="0" collapsed="false">
      <c r="A6" s="2"/>
      <c r="B6" s="7" t="s">
        <v>146</v>
      </c>
      <c r="C6" s="23" t="n">
        <f aca="false">Assumptions!$C$24*Assumptions!$C$27*C4*365</f>
        <v>0</v>
      </c>
      <c r="D6" s="23" t="n">
        <f aca="false">Assumptions!$C$24*Assumptions!$C$27*D4*365</f>
        <v>2555</v>
      </c>
      <c r="E6" s="23" t="n">
        <f aca="false">Assumptions!$C$24*Assumptions!$C$27*E4*365</f>
        <v>6387.5</v>
      </c>
      <c r="F6" s="23" t="n">
        <f aca="false">Assumptions!$C$24*Assumptions!$C$27*F4*365</f>
        <v>10220</v>
      </c>
      <c r="G6" s="23" t="n">
        <f aca="false">Assumptions!$C$24*Assumptions!$C$27*G4*365</f>
        <v>12775</v>
      </c>
      <c r="H6" s="23" t="n">
        <f aca="false">Assumptions!$C$24*Assumptions!$C$27*H4*365</f>
        <v>14052.5</v>
      </c>
      <c r="I6" s="23" t="n">
        <f aca="false">Assumptions!$C$24*Assumptions!$C$27*I4*365</f>
        <v>14052.5</v>
      </c>
      <c r="J6" s="23" t="n">
        <f aca="false">Assumptions!$C$24*Assumptions!$C$27*J4*365</f>
        <v>14052.5</v>
      </c>
      <c r="K6" s="2"/>
    </row>
    <row r="7" customFormat="false" ht="15" hidden="false" customHeight="true" outlineLevel="0" collapsed="false">
      <c r="A7" s="2"/>
      <c r="B7" s="7" t="s">
        <v>147</v>
      </c>
      <c r="C7" s="17" t="n">
        <f aca="false">C6*Assumptions!$C$33</f>
        <v>0</v>
      </c>
      <c r="D7" s="17" t="n">
        <f aca="false">D6*Assumptions!$C$33</f>
        <v>204400</v>
      </c>
      <c r="E7" s="17" t="n">
        <f aca="false">E6*Assumptions!$C$33</f>
        <v>511000</v>
      </c>
      <c r="F7" s="17" t="n">
        <f aca="false">F6*Assumptions!$C$33</f>
        <v>817600</v>
      </c>
      <c r="G7" s="17" t="n">
        <f aca="false">G6*Assumptions!$C$33</f>
        <v>1022000</v>
      </c>
      <c r="H7" s="17" t="n">
        <f aca="false">H6*Assumptions!$C$33</f>
        <v>1124200</v>
      </c>
      <c r="I7" s="17" t="n">
        <f aca="false">I6*Assumptions!$C$33</f>
        <v>1124200</v>
      </c>
      <c r="J7" s="17" t="n">
        <f aca="false">J6*Assumptions!$C$33</f>
        <v>1124200</v>
      </c>
      <c r="K7" s="2"/>
    </row>
    <row r="8" customFormat="false" ht="15" hidden="false" customHeight="true" outlineLevel="0" collapsed="false">
      <c r="A8" s="2"/>
      <c r="B8" s="7" t="s">
        <v>148</v>
      </c>
      <c r="C8" s="17" t="n">
        <f aca="false">C6*Assumptions!$C$34</f>
        <v>0</v>
      </c>
      <c r="D8" s="17" t="n">
        <f aca="false">D6*Assumptions!$C$34</f>
        <v>204400</v>
      </c>
      <c r="E8" s="17" t="n">
        <f aca="false">E6*Assumptions!$C$34</f>
        <v>511000</v>
      </c>
      <c r="F8" s="17" t="n">
        <f aca="false">F6*Assumptions!$C$34</f>
        <v>817600</v>
      </c>
      <c r="G8" s="17" t="n">
        <f aca="false">G6*Assumptions!$C$34</f>
        <v>1022000</v>
      </c>
      <c r="H8" s="17" t="n">
        <f aca="false">H6*Assumptions!$C$34</f>
        <v>1124200</v>
      </c>
      <c r="I8" s="17" t="n">
        <f aca="false">I6*Assumptions!$C$34</f>
        <v>1124200</v>
      </c>
      <c r="J8" s="17" t="n">
        <f aca="false">J6*Assumptions!$C$34</f>
        <v>1124200</v>
      </c>
      <c r="K8" s="2"/>
    </row>
    <row r="9" customFormat="false" ht="15" hidden="false" customHeight="true" outlineLevel="0" collapsed="false">
      <c r="A9" s="2"/>
      <c r="B9" s="7" t="s">
        <v>149</v>
      </c>
      <c r="C9" s="17" t="n">
        <f aca="false">IF(C$3&gt;=2027,Assumptions!$C$35*Assumptions!$C$36,0)</f>
        <v>0</v>
      </c>
      <c r="D9" s="17" t="n">
        <f aca="false">IF(D$3&gt;=2027,Assumptions!$C$35*Assumptions!$C$36,0)</f>
        <v>150000</v>
      </c>
      <c r="E9" s="17" t="n">
        <f aca="false">IF(E$3&gt;=2027,Assumptions!$C$35*Assumptions!$C$36,0)</f>
        <v>150000</v>
      </c>
      <c r="F9" s="17" t="n">
        <f aca="false">IF(F$3&gt;=2027,Assumptions!$C$35*Assumptions!$C$36,0)</f>
        <v>150000</v>
      </c>
      <c r="G9" s="17" t="n">
        <f aca="false">IF(G$3&gt;=2027,Assumptions!$C$35*Assumptions!$C$36,0)</f>
        <v>150000</v>
      </c>
      <c r="H9" s="17" t="n">
        <f aca="false">IF(H$3&gt;=2027,Assumptions!$C$35*Assumptions!$C$36,0)</f>
        <v>150000</v>
      </c>
      <c r="I9" s="17" t="n">
        <f aca="false">IF(I$3&gt;=2027,Assumptions!$C$35*Assumptions!$C$36,0)</f>
        <v>150000</v>
      </c>
      <c r="J9" s="17" t="n">
        <f aca="false">IF(J$3&gt;=2027,Assumptions!$C$35*Assumptions!$C$36,0)</f>
        <v>150000</v>
      </c>
      <c r="K9" s="2"/>
    </row>
    <row r="10" customFormat="false" ht="15" hidden="false" customHeight="true" outlineLevel="0" collapsed="false">
      <c r="A10" s="2"/>
      <c r="B10" s="7" t="s">
        <v>150</v>
      </c>
      <c r="C10" s="17" t="n">
        <f aca="false">IF(C$3&gt;=2027,Assumptions!$C$37,0)</f>
        <v>0</v>
      </c>
      <c r="D10" s="17" t="n">
        <f aca="false">IF(D$3&gt;=2027,Assumptions!$C$37,0)</f>
        <v>50000</v>
      </c>
      <c r="E10" s="17" t="n">
        <f aca="false">IF(E$3&gt;=2027,Assumptions!$C$37,0)</f>
        <v>50000</v>
      </c>
      <c r="F10" s="17" t="n">
        <f aca="false">IF(F$3&gt;=2027,Assumptions!$C$37,0)</f>
        <v>50000</v>
      </c>
      <c r="G10" s="17" t="n">
        <f aca="false">IF(G$3&gt;=2027,Assumptions!$C$37,0)</f>
        <v>50000</v>
      </c>
      <c r="H10" s="17" t="n">
        <f aca="false">IF(H$3&gt;=2027,Assumptions!$C$37,0)</f>
        <v>50000</v>
      </c>
      <c r="I10" s="17" t="n">
        <f aca="false">IF(I$3&gt;=2027,Assumptions!$C$37,0)</f>
        <v>50000</v>
      </c>
      <c r="J10" s="17" t="n">
        <f aca="false">IF(J$3&gt;=2027,Assumptions!$C$37,0)</f>
        <v>50000</v>
      </c>
      <c r="K10" s="2"/>
    </row>
    <row r="11" customFormat="false" ht="15" hidden="false" customHeight="true" outlineLevel="0" collapsed="false">
      <c r="A11" s="2"/>
      <c r="B11" s="15" t="s">
        <v>151</v>
      </c>
      <c r="C11" s="24" t="n">
        <f aca="false">C5+C7+C8+C9+C10</f>
        <v>0</v>
      </c>
      <c r="D11" s="24" t="n">
        <f aca="false">D5+D7+D8+D9+D10</f>
        <v>994130.5</v>
      </c>
      <c r="E11" s="24" t="n">
        <f aca="false">E5+E7+E8+E9+E10</f>
        <v>2204592.775</v>
      </c>
      <c r="F11" s="24" t="n">
        <f aca="false">F5+F7+F8+F9+F10</f>
        <v>3438791.4088</v>
      </c>
      <c r="G11" s="24" t="n">
        <f aca="false">G5+G7+G8+G9+G10</f>
        <v>4288579.04622</v>
      </c>
      <c r="H11" s="24" t="n">
        <f aca="false">H5+H7+H8+H9+H10</f>
        <v>4742417.68985884</v>
      </c>
      <c r="I11" s="24" t="n">
        <f aca="false">I5+I7+I8+I9+I10</f>
        <v>4788298.04365602</v>
      </c>
      <c r="J11" s="24" t="n">
        <f aca="false">J5+J7+J8+J9+J10</f>
        <v>4835096.00452914</v>
      </c>
      <c r="K11" s="2"/>
    </row>
    <row r="12" customFormat="false" ht="15" hidden="false" customHeight="true" outlineLevel="0" collapsed="false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customFormat="false" ht="15" hidden="false" customHeight="true" outlineLevel="0" collapsed="false">
      <c r="A13" s="2"/>
      <c r="B13" s="4" t="s">
        <v>152</v>
      </c>
      <c r="C13" s="2"/>
      <c r="D13" s="2"/>
      <c r="E13" s="2"/>
      <c r="F13" s="2"/>
      <c r="G13" s="2"/>
      <c r="H13" s="2"/>
      <c r="I13" s="2"/>
      <c r="J13" s="2"/>
      <c r="K13" s="2"/>
    </row>
    <row r="14" customFormat="false" ht="15" hidden="false" customHeight="true" outlineLevel="0" collapsed="false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customFormat="false" ht="15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</sheetData>
  <mergeCells count="1">
    <mergeCell ref="B1:J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3C2E"/>
    <pageSetUpPr fitToPage="false"/>
  </sheetPr>
  <dimension ref="A1:K6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23" activeCellId="0" sqref="I23"/>
    </sheetView>
  </sheetViews>
  <sheetFormatPr defaultColWidth="8.66796875" defaultRowHeight="15" customHeight="fals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48"/>
    <col collapsed="false" customWidth="true" hidden="false" outlineLevel="0" max="3" min="3" style="1" width="9"/>
    <col collapsed="false" customWidth="true" hidden="false" outlineLevel="0" max="6" min="4" style="1" width="11"/>
    <col collapsed="false" customWidth="true" hidden="false" outlineLevel="0" max="7" min="7" style="1" width="16.33"/>
    <col collapsed="false" customWidth="true" hidden="false" outlineLevel="0" max="10" min="8" style="1" width="13"/>
    <col collapsed="false" customWidth="true" hidden="false" outlineLevel="0" max="11" min="11" style="1" width="30"/>
  </cols>
  <sheetData>
    <row r="1" customFormat="false" ht="31.5" hidden="false" customHeight="true" outlineLevel="0" collapsed="false">
      <c r="A1" s="2"/>
      <c r="B1" s="3" t="s">
        <v>153</v>
      </c>
      <c r="C1" s="3"/>
      <c r="D1" s="3"/>
      <c r="E1" s="3"/>
      <c r="F1" s="3"/>
      <c r="G1" s="3"/>
      <c r="H1" s="3"/>
      <c r="I1" s="3"/>
      <c r="J1" s="3"/>
      <c r="K1" s="2"/>
    </row>
    <row r="2" customFormat="false" ht="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15" hidden="false" customHeight="true" outlineLevel="0" collapsed="false">
      <c r="A3" s="2"/>
      <c r="B3" s="20"/>
      <c r="C3" s="21" t="n">
        <v>2026</v>
      </c>
      <c r="D3" s="21" t="n">
        <v>2027</v>
      </c>
      <c r="E3" s="21" t="n">
        <v>2028</v>
      </c>
      <c r="F3" s="21" t="n">
        <v>2029</v>
      </c>
      <c r="G3" s="21" t="n">
        <v>2030</v>
      </c>
      <c r="H3" s="21" t="n">
        <v>2031</v>
      </c>
      <c r="I3" s="21" t="n">
        <v>2032</v>
      </c>
      <c r="J3" s="21" t="n">
        <v>2033</v>
      </c>
      <c r="K3" s="2"/>
    </row>
    <row r="4" customFormat="false" ht="15" hidden="false" customHeight="true" outlineLevel="0" collapsed="false">
      <c r="A4" s="2"/>
      <c r="B4" s="7" t="s">
        <v>154</v>
      </c>
      <c r="C4" s="22" t="n">
        <f aca="false">Assumptions!C67</f>
        <v>0</v>
      </c>
      <c r="D4" s="22" t="n">
        <f aca="false">Assumptions!D67</f>
        <v>1</v>
      </c>
      <c r="E4" s="22" t="n">
        <f aca="false">Assumptions!E67</f>
        <v>1</v>
      </c>
      <c r="F4" s="22" t="n">
        <f aca="false">Assumptions!F67</f>
        <v>1</v>
      </c>
      <c r="G4" s="22" t="n">
        <f aca="false">Assumptions!G67</f>
        <v>1</v>
      </c>
      <c r="H4" s="22" t="n">
        <f aca="false">Assumptions!H67</f>
        <v>1</v>
      </c>
      <c r="I4" s="22" t="n">
        <f aca="false">Assumptions!I67</f>
        <v>1</v>
      </c>
      <c r="J4" s="22" t="n">
        <f aca="false">Assumptions!J67</f>
        <v>1</v>
      </c>
      <c r="K4" s="2"/>
    </row>
    <row r="5" customFormat="false" ht="15" hidden="false" customHeight="true" outlineLevel="0" collapsed="false">
      <c r="A5" s="2"/>
      <c r="B5" s="7" t="s">
        <v>155</v>
      </c>
      <c r="C5" s="17" t="n">
        <f aca="false">CostToServe!$F$44*12*C4</f>
        <v>0</v>
      </c>
      <c r="D5" s="17" t="n">
        <f aca="false">CostToServe!$F$44*12*D4</f>
        <v>378690.909090909</v>
      </c>
      <c r="E5" s="17" t="n">
        <f aca="false">CostToServe!$F$44*12*E4</f>
        <v>378690.909090909</v>
      </c>
      <c r="F5" s="17" t="n">
        <f aca="false">CostToServe!$F$44*12*F4</f>
        <v>378690.909090909</v>
      </c>
      <c r="G5" s="17" t="n">
        <f aca="false">CostToServe!$F$44*12*G4</f>
        <v>378690.909090909</v>
      </c>
      <c r="H5" s="17" t="n">
        <f aca="false">CostToServe!$F$44*12*H4</f>
        <v>378690.909090909</v>
      </c>
      <c r="I5" s="17" t="n">
        <f aca="false">CostToServe!$F$44*12*I4</f>
        <v>378690.909090909</v>
      </c>
      <c r="J5" s="17" t="n">
        <f aca="false">CostToServe!$F$44*12*J4</f>
        <v>378690.909090909</v>
      </c>
      <c r="K5" s="2"/>
    </row>
    <row r="6" customFormat="false" ht="15" hidden="false" customHeight="true" outlineLevel="0" collapsed="false">
      <c r="A6" s="2"/>
      <c r="B6" s="7" t="s">
        <v>156</v>
      </c>
      <c r="C6" s="17" t="n">
        <f aca="false">Assumptions!$C$65*5</f>
        <v>22880</v>
      </c>
      <c r="D6" s="17" t="n">
        <f aca="false">CostToServe!$F$52*12*D4</f>
        <v>87927.2727272727</v>
      </c>
      <c r="E6" s="17" t="n">
        <f aca="false">CostToServe!$F$52*12*E4</f>
        <v>87927.2727272727</v>
      </c>
      <c r="F6" s="17" t="n">
        <f aca="false">CostToServe!$F$52*12*F4</f>
        <v>87927.2727272727</v>
      </c>
      <c r="G6" s="17" t="n">
        <f aca="false">CostToServe!$F$52*12*G4</f>
        <v>87927.2727272727</v>
      </c>
      <c r="H6" s="17" t="n">
        <f aca="false">CostToServe!$F$52*12*H4</f>
        <v>87927.2727272727</v>
      </c>
      <c r="I6" s="17" t="n">
        <f aca="false">CostToServe!$F$52*12*I4</f>
        <v>87927.2727272727</v>
      </c>
      <c r="J6" s="17" t="n">
        <f aca="false">CostToServe!$F$52*12*J4</f>
        <v>87927.2727272727</v>
      </c>
      <c r="K6" s="2"/>
    </row>
    <row r="7" customFormat="false" ht="15" hidden="false" customHeight="true" outlineLevel="0" collapsed="false">
      <c r="A7" s="2"/>
      <c r="B7" s="7" t="s">
        <v>157</v>
      </c>
      <c r="C7" s="17" t="n">
        <f aca="false">CostToServe!$F$56*12*C4</f>
        <v>0</v>
      </c>
      <c r="D7" s="17" t="n">
        <f aca="false">CostToServe!$F$56*12*D4</f>
        <v>40000</v>
      </c>
      <c r="E7" s="17" t="n">
        <f aca="false">CostToServe!$F$56*12*E4</f>
        <v>40000</v>
      </c>
      <c r="F7" s="17" t="n">
        <f aca="false">CostToServe!$F$56*12*F4</f>
        <v>40000</v>
      </c>
      <c r="G7" s="17" t="n">
        <f aca="false">CostToServe!$F$56*12*G4</f>
        <v>40000</v>
      </c>
      <c r="H7" s="17" t="n">
        <f aca="false">CostToServe!$F$56*12*H4</f>
        <v>40000</v>
      </c>
      <c r="I7" s="17" t="n">
        <f aca="false">CostToServe!$F$56*12*I4</f>
        <v>40000</v>
      </c>
      <c r="J7" s="17" t="n">
        <f aca="false">CostToServe!$F$56*12*J4</f>
        <v>40000</v>
      </c>
      <c r="K7" s="2"/>
    </row>
    <row r="8" customFormat="false" ht="15" hidden="false" customHeight="true" outlineLevel="0" collapsed="false">
      <c r="A8" s="2"/>
      <c r="B8" s="7" t="s">
        <v>158</v>
      </c>
      <c r="C8" s="17" t="n">
        <f aca="false">Assumptions!$C$39*C4</f>
        <v>0</v>
      </c>
      <c r="D8" s="17" t="n">
        <f aca="false">Assumptions!$C$39*D4</f>
        <v>6000</v>
      </c>
      <c r="E8" s="17" t="n">
        <f aca="false">Assumptions!$C$39*E4</f>
        <v>6000</v>
      </c>
      <c r="F8" s="17" t="n">
        <f aca="false">Assumptions!$C$39*F4</f>
        <v>6000</v>
      </c>
      <c r="G8" s="17" t="n">
        <f aca="false">Assumptions!$C$39*G4</f>
        <v>6000</v>
      </c>
      <c r="H8" s="17" t="n">
        <f aca="false">Assumptions!$C$39*H4</f>
        <v>6000</v>
      </c>
      <c r="I8" s="17" t="n">
        <f aca="false">Assumptions!$C$39*I4</f>
        <v>6000</v>
      </c>
      <c r="J8" s="17" t="n">
        <f aca="false">Assumptions!$C$39*J4</f>
        <v>6000</v>
      </c>
      <c r="K8" s="2"/>
    </row>
    <row r="9" customFormat="false" ht="15" hidden="false" customHeight="true" outlineLevel="0" collapsed="false">
      <c r="A9" s="2"/>
      <c r="B9" s="7" t="s">
        <v>159</v>
      </c>
      <c r="C9" s="17" t="n">
        <f aca="false">Assumptions!$C$40*C4</f>
        <v>0</v>
      </c>
      <c r="D9" s="17" t="n">
        <f aca="false">Assumptions!$C$40*D4</f>
        <v>40000</v>
      </c>
      <c r="E9" s="17" t="n">
        <f aca="false">Assumptions!$C$40*E4</f>
        <v>40000</v>
      </c>
      <c r="F9" s="17" t="n">
        <f aca="false">Assumptions!$C$40*F4</f>
        <v>40000</v>
      </c>
      <c r="G9" s="17" t="n">
        <f aca="false">Assumptions!$C$40*G4</f>
        <v>40000</v>
      </c>
      <c r="H9" s="17" t="n">
        <f aca="false">Assumptions!$C$40*H4</f>
        <v>40000</v>
      </c>
      <c r="I9" s="17" t="n">
        <f aca="false">Assumptions!$C$40*I4</f>
        <v>40000</v>
      </c>
      <c r="J9" s="17" t="n">
        <f aca="false">Assumptions!$C$40*J4</f>
        <v>40000</v>
      </c>
      <c r="K9" s="2"/>
    </row>
    <row r="10" customFormat="false" ht="15" hidden="false" customHeight="true" outlineLevel="0" collapsed="false">
      <c r="A10" s="2"/>
      <c r="B10" s="7" t="s">
        <v>160</v>
      </c>
      <c r="C10" s="17" t="n">
        <f aca="false">Assumptions!$C$44*C4</f>
        <v>0</v>
      </c>
      <c r="D10" s="17" t="n">
        <f aca="false">Assumptions!$C$44*D4</f>
        <v>24000</v>
      </c>
      <c r="E10" s="17" t="n">
        <f aca="false">Assumptions!$C$44*E4</f>
        <v>24000</v>
      </c>
      <c r="F10" s="17" t="n">
        <f aca="false">Assumptions!$C$44*F4</f>
        <v>24000</v>
      </c>
      <c r="G10" s="17" t="n">
        <f aca="false">Assumptions!$C$44*G4</f>
        <v>24000</v>
      </c>
      <c r="H10" s="17" t="n">
        <f aca="false">Assumptions!$C$44*H4</f>
        <v>24000</v>
      </c>
      <c r="I10" s="17" t="n">
        <f aca="false">Assumptions!$C$44*I4</f>
        <v>24000</v>
      </c>
      <c r="J10" s="17" t="n">
        <f aca="false">Assumptions!$C$44*J4</f>
        <v>24000</v>
      </c>
      <c r="K10" s="2"/>
    </row>
    <row r="11" customFormat="false" ht="15" hidden="false" customHeight="true" outlineLevel="0" collapsed="false">
      <c r="A11" s="2"/>
      <c r="B11" s="7" t="s">
        <v>161</v>
      </c>
      <c r="C11" s="17" t="n">
        <f aca="false">Assumptions!$C$45*C4</f>
        <v>0</v>
      </c>
      <c r="D11" s="17" t="n">
        <f aca="false">Assumptions!$C$45*D4</f>
        <v>6000</v>
      </c>
      <c r="E11" s="17" t="n">
        <f aca="false">Assumptions!$C$45*E4</f>
        <v>6000</v>
      </c>
      <c r="F11" s="17" t="n">
        <f aca="false">Assumptions!$C$45*F4</f>
        <v>6000</v>
      </c>
      <c r="G11" s="17" t="n">
        <f aca="false">Assumptions!$C$45*G4</f>
        <v>6000</v>
      </c>
      <c r="H11" s="17" t="n">
        <f aca="false">Assumptions!$C$45*H4</f>
        <v>6000</v>
      </c>
      <c r="I11" s="17" t="n">
        <f aca="false">Assumptions!$C$45*I4</f>
        <v>6000</v>
      </c>
      <c r="J11" s="17" t="n">
        <f aca="false">Assumptions!$C$45*J4</f>
        <v>6000</v>
      </c>
      <c r="K11" s="2"/>
    </row>
    <row r="12" customFormat="false" ht="15" hidden="false" customHeight="true" outlineLevel="0" collapsed="false">
      <c r="A12" s="2"/>
      <c r="B12" s="7" t="s">
        <v>162</v>
      </c>
      <c r="C12" s="17" t="n">
        <f aca="false">Assumptions!$C$46*C4</f>
        <v>0</v>
      </c>
      <c r="D12" s="17" t="n">
        <f aca="false">Assumptions!$C$46*D4</f>
        <v>15000</v>
      </c>
      <c r="E12" s="17" t="n">
        <f aca="false">Assumptions!$C$46*E4</f>
        <v>15000</v>
      </c>
      <c r="F12" s="17" t="n">
        <f aca="false">Assumptions!$C$46*F4</f>
        <v>15000</v>
      </c>
      <c r="G12" s="17" t="n">
        <f aca="false">Assumptions!$C$46*G4</f>
        <v>15000</v>
      </c>
      <c r="H12" s="17" t="n">
        <f aca="false">Assumptions!$C$46*H4</f>
        <v>15000</v>
      </c>
      <c r="I12" s="17" t="n">
        <f aca="false">Assumptions!$C$46*I4</f>
        <v>15000</v>
      </c>
      <c r="J12" s="17" t="n">
        <f aca="false">Assumptions!$C$46*J4</f>
        <v>15000</v>
      </c>
      <c r="K12" s="2"/>
    </row>
    <row r="13" customFormat="false" ht="15" hidden="false" customHeight="true" outlineLevel="0" collapsed="false">
      <c r="A13" s="2"/>
      <c r="B13" s="7" t="s">
        <v>163</v>
      </c>
      <c r="C13" s="17" t="n">
        <f aca="false">Assumptions!$C$47*C4</f>
        <v>0</v>
      </c>
      <c r="D13" s="17" t="n">
        <f aca="false">Assumptions!$C$47*D4</f>
        <v>12000</v>
      </c>
      <c r="E13" s="17" t="n">
        <f aca="false">Assumptions!$C$47*E4</f>
        <v>12000</v>
      </c>
      <c r="F13" s="17" t="n">
        <f aca="false">Assumptions!$C$47*F4</f>
        <v>12000</v>
      </c>
      <c r="G13" s="17" t="n">
        <f aca="false">Assumptions!$C$47*G4</f>
        <v>12000</v>
      </c>
      <c r="H13" s="17" t="n">
        <f aca="false">Assumptions!$C$47*H4</f>
        <v>12000</v>
      </c>
      <c r="I13" s="17" t="n">
        <f aca="false">Assumptions!$C$47*I4</f>
        <v>12000</v>
      </c>
      <c r="J13" s="17" t="n">
        <f aca="false">Assumptions!$C$47*J4</f>
        <v>12000</v>
      </c>
      <c r="K13" s="2"/>
    </row>
    <row r="14" customFormat="false" ht="15" hidden="false" customHeight="true" outlineLevel="0" collapsed="false">
      <c r="A14" s="2"/>
      <c r="B14" s="7" t="s">
        <v>164</v>
      </c>
      <c r="C14" s="17" t="n">
        <v>50000</v>
      </c>
      <c r="D14" s="17" t="n">
        <f aca="false">Assumptions!$C$41*D4</f>
        <v>150000</v>
      </c>
      <c r="E14" s="17" t="n">
        <f aca="false">Assumptions!$C$41*E4</f>
        <v>150000</v>
      </c>
      <c r="F14" s="17" t="n">
        <f aca="false">Assumptions!$C$41*F4</f>
        <v>150000</v>
      </c>
      <c r="G14" s="17" t="n">
        <f aca="false">Assumptions!$C$41*G4</f>
        <v>150000</v>
      </c>
      <c r="H14" s="17" t="n">
        <f aca="false">Assumptions!$C$41*H4</f>
        <v>150000</v>
      </c>
      <c r="I14" s="17" t="n">
        <f aca="false">Assumptions!$C$41*I4</f>
        <v>150000</v>
      </c>
      <c r="J14" s="17" t="n">
        <f aca="false">Assumptions!$C$41*J4</f>
        <v>150000</v>
      </c>
      <c r="K14" s="2"/>
    </row>
    <row r="15" customFormat="false" ht="15" hidden="false" customHeight="true" outlineLevel="0" collapsed="false">
      <c r="A15" s="2"/>
      <c r="B15" s="7" t="s">
        <v>165</v>
      </c>
      <c r="C15" s="17" t="n">
        <f aca="false">Revenue!C6*Guest_Group_Detail!$D$44</f>
        <v>0</v>
      </c>
      <c r="D15" s="17" t="n">
        <f aca="false">Revenue!D6*Guest_Group_Detail!$D$44</f>
        <v>61939.3939393939</v>
      </c>
      <c r="E15" s="17" t="n">
        <f aca="false">Revenue!E6*Guest_Group_Detail!$D$44</f>
        <v>154848.484848485</v>
      </c>
      <c r="F15" s="17" t="n">
        <f aca="false">Revenue!F6*Guest_Group_Detail!$D$44</f>
        <v>247757.575757576</v>
      </c>
      <c r="G15" s="17" t="n">
        <f aca="false">Revenue!G6*Guest_Group_Detail!$D$44</f>
        <v>309696.96969697</v>
      </c>
      <c r="H15" s="17" t="n">
        <f aca="false">Revenue!H6*Guest_Group_Detail!$D$44</f>
        <v>340666.666666667</v>
      </c>
      <c r="I15" s="17" t="n">
        <f aca="false">Revenue!I6*Guest_Group_Detail!$D$44</f>
        <v>340666.666666667</v>
      </c>
      <c r="J15" s="17" t="n">
        <f aca="false">Revenue!J6*Guest_Group_Detail!$D$44</f>
        <v>340666.666666667</v>
      </c>
      <c r="K15" s="2"/>
    </row>
    <row r="16" customFormat="false" ht="15" hidden="false" customHeight="true" outlineLevel="0" collapsed="false">
      <c r="A16" s="2"/>
      <c r="B16" s="7" t="s">
        <v>166</v>
      </c>
      <c r="C16" s="17" t="n">
        <f aca="false">Revenue!C8*Assumptions!$C$43</f>
        <v>0</v>
      </c>
      <c r="D16" s="17" t="n">
        <f aca="false">Revenue!D8*Assumptions!$C$43</f>
        <v>91980</v>
      </c>
      <c r="E16" s="17" t="n">
        <f aca="false">Revenue!E8*Assumptions!$C$43</f>
        <v>229950</v>
      </c>
      <c r="F16" s="17" t="n">
        <f aca="false">Revenue!F8*Assumptions!$C$43</f>
        <v>367920</v>
      </c>
      <c r="G16" s="17" t="n">
        <f aca="false">Revenue!G8*Assumptions!$C$43</f>
        <v>459900</v>
      </c>
      <c r="H16" s="17" t="n">
        <f aca="false">Revenue!H8*Assumptions!$C$43</f>
        <v>505890</v>
      </c>
      <c r="I16" s="17" t="n">
        <f aca="false">Revenue!I8*Assumptions!$C$43</f>
        <v>505890</v>
      </c>
      <c r="J16" s="17" t="n">
        <f aca="false">Revenue!J8*Assumptions!$C$43</f>
        <v>505890</v>
      </c>
      <c r="K16" s="2"/>
    </row>
    <row r="17" customFormat="false" ht="15" hidden="false" customHeight="true" outlineLevel="0" collapsed="false">
      <c r="A17" s="2"/>
      <c r="B17" s="7" t="s">
        <v>167</v>
      </c>
      <c r="C17" s="17" t="n">
        <f aca="false">Revenue!C11*Assumptions!$C$48</f>
        <v>0</v>
      </c>
      <c r="D17" s="17" t="n">
        <f aca="false">Revenue!D11*Assumptions!$C$48</f>
        <v>19882.61</v>
      </c>
      <c r="E17" s="17" t="n">
        <f aca="false">Revenue!E11*Assumptions!$C$48</f>
        <v>44091.8555</v>
      </c>
      <c r="F17" s="17" t="n">
        <f aca="false">Revenue!F11*Assumptions!$C$48</f>
        <v>68775.828176</v>
      </c>
      <c r="G17" s="17" t="n">
        <f aca="false">Revenue!G11*Assumptions!$C$48</f>
        <v>85771.5809244</v>
      </c>
      <c r="H17" s="17" t="n">
        <f aca="false">Revenue!H11*Assumptions!$C$48</f>
        <v>94848.3537971768</v>
      </c>
      <c r="I17" s="17" t="n">
        <f aca="false">Revenue!I11*Assumptions!$C$48</f>
        <v>95765.9608731204</v>
      </c>
      <c r="J17" s="17" t="n">
        <f aca="false">Revenue!J11*Assumptions!$C$48</f>
        <v>96701.9200905828</v>
      </c>
      <c r="K17" s="2"/>
    </row>
    <row r="18" customFormat="false" ht="15" hidden="false" customHeight="true" outlineLevel="0" collapsed="false">
      <c r="A18" s="2"/>
      <c r="B18" s="7" t="s">
        <v>168</v>
      </c>
      <c r="C18" s="17" t="n">
        <f aca="false">(Revenue!C6/Assumptions!$C$28)*Guest_Group_Detail!$D$41</f>
        <v>0</v>
      </c>
      <c r="D18" s="17" t="n">
        <f aca="false">(Revenue!D6/Assumptions!$C$28)*Guest_Group_Detail!$D$41</f>
        <v>124431.818181818</v>
      </c>
      <c r="E18" s="17" t="n">
        <f aca="false">(Revenue!E6/Assumptions!$C$28)*Guest_Group_Detail!$D$41</f>
        <v>311079.545454545</v>
      </c>
      <c r="F18" s="17" t="n">
        <f aca="false">(Revenue!F6/Assumptions!$C$28)*Guest_Group_Detail!$D$41</f>
        <v>497727.272727273</v>
      </c>
      <c r="G18" s="17" t="n">
        <f aca="false">(Revenue!G6/Assumptions!$C$28)*Guest_Group_Detail!$D$41</f>
        <v>622159.090909091</v>
      </c>
      <c r="H18" s="17" t="n">
        <f aca="false">(Revenue!H6/Assumptions!$C$28)*Guest_Group_Detail!$D$41</f>
        <v>684375</v>
      </c>
      <c r="I18" s="17" t="n">
        <f aca="false">(Revenue!I6/Assumptions!$C$28)*Guest_Group_Detail!$D$41</f>
        <v>684375</v>
      </c>
      <c r="J18" s="17" t="n">
        <f aca="false">(Revenue!J6/Assumptions!$C$28)*Guest_Group_Detail!$D$41</f>
        <v>684375</v>
      </c>
      <c r="K18" s="2"/>
    </row>
    <row r="19" customFormat="false" ht="15" hidden="false" customHeight="true" outlineLevel="0" collapsed="false">
      <c r="A19" s="2"/>
      <c r="B19" s="7" t="s">
        <v>169</v>
      </c>
      <c r="C19" s="17" t="n">
        <f aca="false">Revenue!C5*Assumptions!$C$42</f>
        <v>0</v>
      </c>
      <c r="D19" s="17" t="n">
        <f aca="false">Revenue!D5*Assumptions!$C$42</f>
        <v>65506.185</v>
      </c>
      <c r="E19" s="17" t="n">
        <f aca="false">Revenue!E5*Assumptions!$C$42</f>
        <v>167040.77175</v>
      </c>
      <c r="F19" s="17" t="n">
        <f aca="false">Revenue!F5*Assumptions!$C$42</f>
        <v>272610.539496</v>
      </c>
      <c r="G19" s="17" t="n">
        <f aca="false">Revenue!G5*Assumptions!$C$42</f>
        <v>347578.4378574</v>
      </c>
      <c r="H19" s="17" t="n">
        <f aca="false">Revenue!H5*Assumptions!$C$42</f>
        <v>389983.007276003</v>
      </c>
      <c r="I19" s="17" t="n">
        <f aca="false">Revenue!I5*Assumptions!$C$42</f>
        <v>397782.667421523</v>
      </c>
      <c r="J19" s="17" t="n">
        <f aca="false">Revenue!J5*Assumptions!$C$42</f>
        <v>405738.320769953</v>
      </c>
      <c r="K19" s="2"/>
    </row>
    <row r="20" customFormat="false" ht="15" hidden="false" customHeight="true" outlineLevel="0" collapsed="false">
      <c r="A20" s="2"/>
      <c r="B20" s="15" t="s">
        <v>170</v>
      </c>
      <c r="C20" s="24" t="n">
        <f aca="false">SUM(C5:C19)</f>
        <v>72880</v>
      </c>
      <c r="D20" s="24" t="n">
        <f aca="false">SUM(D5:D19)</f>
        <v>1123358.18893939</v>
      </c>
      <c r="E20" s="24" t="n">
        <f aca="false">SUM(E5:E19)</f>
        <v>1666628.83937121</v>
      </c>
      <c r="F20" s="24" t="n">
        <f aca="false">SUM(F5:F19)</f>
        <v>2214409.39797503</v>
      </c>
      <c r="G20" s="24" t="n">
        <f aca="false">SUM(G5:G19)</f>
        <v>2584724.26120604</v>
      </c>
      <c r="H20" s="24" t="n">
        <f aca="false">SUM(H5:H19)</f>
        <v>2775381.20955803</v>
      </c>
      <c r="I20" s="24" t="n">
        <f aca="false">SUM(I5:I19)</f>
        <v>2784098.47677949</v>
      </c>
      <c r="J20" s="24" t="n">
        <f aca="false">SUM(J5:J19)</f>
        <v>2792990.08934539</v>
      </c>
      <c r="K20" s="2"/>
    </row>
    <row r="21" customFormat="false" ht="15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customFormat="false" ht="15" hidden="false" customHeight="tru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customFormat="false" ht="15" hidden="false" customHeight="true" outlineLevel="0" collapsed="false">
      <c r="A23" s="2"/>
      <c r="B23" s="5" t="s">
        <v>171</v>
      </c>
      <c r="C23" s="6"/>
      <c r="D23" s="6"/>
      <c r="E23" s="6"/>
      <c r="F23" s="6"/>
      <c r="G23" s="2"/>
      <c r="H23" s="2"/>
      <c r="I23" s="2"/>
      <c r="J23" s="2"/>
      <c r="K23" s="2"/>
    </row>
    <row r="24" customFormat="false" ht="15" hidden="false" customHeight="true" outlineLevel="0" collapsed="false">
      <c r="A24" s="2"/>
      <c r="B24" s="4" t="s">
        <v>172</v>
      </c>
      <c r="C24" s="4" t="s">
        <v>173</v>
      </c>
      <c r="D24" s="4" t="s">
        <v>174</v>
      </c>
      <c r="E24" s="4" t="s">
        <v>175</v>
      </c>
      <c r="F24" s="4" t="s">
        <v>176</v>
      </c>
      <c r="G24" s="2"/>
      <c r="H24" s="2"/>
      <c r="I24" s="2"/>
      <c r="J24" s="2"/>
      <c r="K24" s="2"/>
    </row>
    <row r="25" customFormat="false" ht="15" hidden="false" customHeight="true" outlineLevel="0" collapsed="false">
      <c r="A25" s="2"/>
      <c r="B25" s="4" t="s">
        <v>177</v>
      </c>
      <c r="C25" s="2"/>
      <c r="D25" s="2"/>
      <c r="E25" s="2"/>
      <c r="F25" s="2"/>
      <c r="G25" s="2"/>
      <c r="H25" s="2"/>
      <c r="I25" s="2"/>
      <c r="J25" s="2"/>
      <c r="K25" s="2"/>
    </row>
    <row r="26" customFormat="false" ht="15" hidden="false" customHeight="true" outlineLevel="0" collapsed="false">
      <c r="A26" s="2"/>
      <c r="B26" s="7" t="s">
        <v>178</v>
      </c>
      <c r="C26" s="14" t="n">
        <v>1</v>
      </c>
      <c r="D26" s="19" t="n">
        <v>16500</v>
      </c>
      <c r="E26" s="23" t="n">
        <f aca="false">C26*D26</f>
        <v>16500</v>
      </c>
      <c r="F26" s="17" t="n">
        <f aca="false">E26/Assumptions!$C$6</f>
        <v>5000</v>
      </c>
      <c r="G26" s="4" t="s">
        <v>179</v>
      </c>
      <c r="H26" s="2"/>
      <c r="I26" s="2"/>
      <c r="J26" s="2"/>
      <c r="K26" s="2"/>
    </row>
    <row r="27" customFormat="false" ht="15" hidden="false" customHeight="true" outlineLevel="0" collapsed="false">
      <c r="A27" s="2"/>
      <c r="B27" s="7" t="s">
        <v>180</v>
      </c>
      <c r="C27" s="14" t="n">
        <v>1</v>
      </c>
      <c r="D27" s="19" t="n">
        <v>13200</v>
      </c>
      <c r="E27" s="23" t="n">
        <f aca="false">C27*D27</f>
        <v>13200</v>
      </c>
      <c r="F27" s="17" t="n">
        <f aca="false">E27/Assumptions!$C$6</f>
        <v>4000</v>
      </c>
      <c r="G27" s="4" t="s">
        <v>181</v>
      </c>
      <c r="H27" s="2"/>
      <c r="I27" s="2"/>
      <c r="J27" s="2"/>
      <c r="K27" s="2"/>
    </row>
    <row r="28" customFormat="false" ht="15" hidden="false" customHeight="true" outlineLevel="0" collapsed="false">
      <c r="A28" s="2"/>
      <c r="B28" s="7" t="s">
        <v>182</v>
      </c>
      <c r="C28" s="14" t="n">
        <v>1</v>
      </c>
      <c r="D28" s="19" t="n">
        <v>8250</v>
      </c>
      <c r="E28" s="23" t="n">
        <f aca="false">C28*D28</f>
        <v>8250</v>
      </c>
      <c r="F28" s="17" t="n">
        <f aca="false">E28/Assumptions!$C$6</f>
        <v>2500</v>
      </c>
      <c r="G28" s="4" t="s">
        <v>183</v>
      </c>
      <c r="H28" s="2"/>
      <c r="I28" s="2"/>
      <c r="J28" s="2"/>
      <c r="K28" s="2"/>
    </row>
    <row r="29" customFormat="false" ht="15" hidden="false" customHeight="true" outlineLevel="0" collapsed="false">
      <c r="A29" s="2"/>
      <c r="B29" s="7" t="s">
        <v>184</v>
      </c>
      <c r="C29" s="14" t="n">
        <v>1</v>
      </c>
      <c r="D29" s="19" t="n">
        <v>5000</v>
      </c>
      <c r="E29" s="23" t="n">
        <f aca="false">C29*D29</f>
        <v>5000</v>
      </c>
      <c r="F29" s="17" t="n">
        <f aca="false">E29/Assumptions!$C$6</f>
        <v>1515.15151515152</v>
      </c>
      <c r="G29" s="4" t="s">
        <v>185</v>
      </c>
      <c r="H29" s="2"/>
      <c r="I29" s="2"/>
      <c r="J29" s="2"/>
      <c r="K29" s="2"/>
    </row>
    <row r="30" customFormat="false" ht="15" hidden="false" customHeight="true" outlineLevel="0" collapsed="false">
      <c r="A30" s="2"/>
      <c r="B30" s="7" t="s">
        <v>186</v>
      </c>
      <c r="C30" s="14" t="n">
        <v>1</v>
      </c>
      <c r="D30" s="19" t="n">
        <v>5000</v>
      </c>
      <c r="E30" s="23" t="n">
        <f aca="false">C30*D30</f>
        <v>5000</v>
      </c>
      <c r="F30" s="17" t="n">
        <f aca="false">E30/Assumptions!$C$6</f>
        <v>1515.15151515152</v>
      </c>
      <c r="G30" s="2"/>
      <c r="H30" s="2"/>
      <c r="I30" s="2"/>
      <c r="J30" s="2"/>
      <c r="K30" s="2"/>
    </row>
    <row r="31" customFormat="false" ht="15" hidden="false" customHeight="true" outlineLevel="0" collapsed="false">
      <c r="A31" s="2"/>
      <c r="B31" s="7" t="s">
        <v>187</v>
      </c>
      <c r="C31" s="14" t="n">
        <v>2</v>
      </c>
      <c r="D31" s="19" t="n">
        <v>2000</v>
      </c>
      <c r="E31" s="23" t="n">
        <f aca="false">C31*D31</f>
        <v>4000</v>
      </c>
      <c r="F31" s="17" t="n">
        <f aca="false">E31/Assumptions!$C$6</f>
        <v>1212.12121212121</v>
      </c>
      <c r="G31" s="4" t="s">
        <v>188</v>
      </c>
      <c r="H31" s="2"/>
      <c r="I31" s="2"/>
      <c r="J31" s="2"/>
      <c r="K31" s="2"/>
    </row>
    <row r="32" customFormat="false" ht="15" hidden="false" customHeight="true" outlineLevel="0" collapsed="false">
      <c r="A32" s="2"/>
      <c r="B32" s="7" t="s">
        <v>189</v>
      </c>
      <c r="C32" s="14" t="n">
        <v>1</v>
      </c>
      <c r="D32" s="19" t="n">
        <v>1650</v>
      </c>
      <c r="E32" s="23" t="n">
        <f aca="false">C32*D32</f>
        <v>1650</v>
      </c>
      <c r="F32" s="17" t="n">
        <f aca="false">E32/Assumptions!$C$6</f>
        <v>500</v>
      </c>
      <c r="G32" s="4" t="s">
        <v>190</v>
      </c>
      <c r="H32" s="2"/>
      <c r="I32" s="2"/>
      <c r="J32" s="2"/>
      <c r="K32" s="2"/>
    </row>
    <row r="33" customFormat="false" ht="15" hidden="false" customHeight="true" outlineLevel="0" collapsed="false">
      <c r="A33" s="2"/>
      <c r="B33" s="7" t="s">
        <v>191</v>
      </c>
      <c r="C33" s="14" t="n">
        <v>1</v>
      </c>
      <c r="D33" s="19" t="n">
        <v>1650</v>
      </c>
      <c r="E33" s="23" t="n">
        <f aca="false">C33*D33</f>
        <v>1650</v>
      </c>
      <c r="F33" s="17" t="n">
        <f aca="false">E33/Assumptions!$C$6</f>
        <v>500</v>
      </c>
      <c r="G33" s="4" t="s">
        <v>192</v>
      </c>
      <c r="H33" s="2"/>
      <c r="I33" s="2"/>
      <c r="J33" s="2"/>
      <c r="K33" s="2"/>
    </row>
    <row r="34" customFormat="false" ht="15" hidden="false" customHeight="true" outlineLevel="0" collapsed="false">
      <c r="A34" s="2"/>
      <c r="B34" s="7" t="s">
        <v>193</v>
      </c>
      <c r="C34" s="14" t="n">
        <v>1</v>
      </c>
      <c r="D34" s="19" t="n">
        <v>1650</v>
      </c>
      <c r="E34" s="23" t="n">
        <f aca="false">C34*D34</f>
        <v>1650</v>
      </c>
      <c r="F34" s="17" t="n">
        <f aca="false">E34/Assumptions!$C$6</f>
        <v>500</v>
      </c>
      <c r="G34" s="4" t="s">
        <v>192</v>
      </c>
      <c r="H34" s="2"/>
      <c r="I34" s="2"/>
      <c r="J34" s="2"/>
      <c r="K34" s="2"/>
    </row>
    <row r="35" customFormat="false" ht="15" hidden="false" customHeight="true" outlineLevel="0" collapsed="false">
      <c r="A35" s="2"/>
      <c r="B35" s="7" t="s">
        <v>194</v>
      </c>
      <c r="C35" s="14" t="n">
        <v>1</v>
      </c>
      <c r="D35" s="19" t="n">
        <v>3300</v>
      </c>
      <c r="E35" s="23" t="n">
        <f aca="false">C35*D35</f>
        <v>3300</v>
      </c>
      <c r="F35" s="17" t="n">
        <f aca="false">E35/Assumptions!$C$6</f>
        <v>1000</v>
      </c>
      <c r="G35" s="4" t="s">
        <v>195</v>
      </c>
      <c r="H35" s="2"/>
      <c r="I35" s="2"/>
      <c r="J35" s="2"/>
      <c r="K35" s="2"/>
    </row>
    <row r="36" customFormat="false" ht="15" hidden="false" customHeight="true" outlineLevel="0" collapsed="false">
      <c r="A36" s="2"/>
      <c r="B36" s="7" t="s">
        <v>196</v>
      </c>
      <c r="C36" s="14" t="n">
        <v>1</v>
      </c>
      <c r="D36" s="19" t="n">
        <v>5000</v>
      </c>
      <c r="E36" s="23" t="n">
        <f aca="false">C36*D36</f>
        <v>5000</v>
      </c>
      <c r="F36" s="17" t="n">
        <f aca="false">E36/Assumptions!$C$6</f>
        <v>1515.15151515152</v>
      </c>
      <c r="G36" s="2"/>
      <c r="H36" s="2"/>
      <c r="I36" s="2"/>
      <c r="J36" s="2"/>
      <c r="K36" s="2"/>
    </row>
    <row r="37" customFormat="false" ht="15" hidden="false" customHeight="true" outlineLevel="0" collapsed="false">
      <c r="A37" s="2"/>
      <c r="B37" s="7" t="s">
        <v>197</v>
      </c>
      <c r="C37" s="14" t="n">
        <v>2</v>
      </c>
      <c r="D37" s="19" t="n">
        <v>1800</v>
      </c>
      <c r="E37" s="23" t="n">
        <f aca="false">C37*D37</f>
        <v>3600</v>
      </c>
      <c r="F37" s="17" t="n">
        <f aca="false">E37/Assumptions!$C$6</f>
        <v>1090.90909090909</v>
      </c>
      <c r="G37" s="2"/>
      <c r="H37" s="2"/>
      <c r="I37" s="2"/>
      <c r="J37" s="2"/>
      <c r="K37" s="2"/>
    </row>
    <row r="38" customFormat="false" ht="15" hidden="false" customHeight="true" outlineLevel="0" collapsed="false">
      <c r="A38" s="2"/>
      <c r="B38" s="7" t="s">
        <v>198</v>
      </c>
      <c r="C38" s="14" t="n">
        <v>1</v>
      </c>
      <c r="D38" s="19" t="n">
        <v>2640</v>
      </c>
      <c r="E38" s="23" t="n">
        <f aca="false">C38*D38</f>
        <v>2640</v>
      </c>
      <c r="F38" s="17" t="n">
        <f aca="false">E38/Assumptions!$C$6</f>
        <v>800</v>
      </c>
      <c r="G38" s="4" t="s">
        <v>199</v>
      </c>
      <c r="H38" s="2"/>
      <c r="I38" s="2"/>
      <c r="J38" s="2"/>
      <c r="K38" s="2"/>
    </row>
    <row r="39" customFormat="false" ht="15" hidden="false" customHeight="true" outlineLevel="0" collapsed="false">
      <c r="A39" s="2"/>
      <c r="B39" s="7" t="s">
        <v>200</v>
      </c>
      <c r="C39" s="14" t="n">
        <v>6</v>
      </c>
      <c r="D39" s="19" t="n">
        <v>1500</v>
      </c>
      <c r="E39" s="23" t="n">
        <f aca="false">C39*D39</f>
        <v>9000</v>
      </c>
      <c r="F39" s="17" t="n">
        <f aca="false">E39/Assumptions!$C$6</f>
        <v>2727.27272727273</v>
      </c>
      <c r="G39" s="2"/>
      <c r="H39" s="2"/>
      <c r="I39" s="2"/>
      <c r="J39" s="2"/>
      <c r="K39" s="2"/>
    </row>
    <row r="40" customFormat="false" ht="15" hidden="false" customHeight="true" outlineLevel="0" collapsed="false">
      <c r="A40" s="2"/>
      <c r="B40" s="7" t="s">
        <v>201</v>
      </c>
      <c r="C40" s="14" t="n">
        <v>6</v>
      </c>
      <c r="D40" s="19" t="n">
        <v>1200</v>
      </c>
      <c r="E40" s="23" t="n">
        <f aca="false">C40*D40</f>
        <v>7200</v>
      </c>
      <c r="F40" s="17" t="n">
        <f aca="false">E40/Assumptions!$C$6</f>
        <v>2181.81818181818</v>
      </c>
      <c r="G40" s="2"/>
      <c r="H40" s="2"/>
      <c r="I40" s="2"/>
      <c r="J40" s="2"/>
      <c r="K40" s="2"/>
    </row>
    <row r="41" customFormat="false" ht="15" hidden="false" customHeight="true" outlineLevel="0" collapsed="false">
      <c r="A41" s="2"/>
      <c r="B41" s="7" t="s">
        <v>202</v>
      </c>
      <c r="C41" s="14" t="n">
        <v>3</v>
      </c>
      <c r="D41" s="19" t="n">
        <v>1000</v>
      </c>
      <c r="E41" s="23" t="n">
        <f aca="false">C41*D41</f>
        <v>3000</v>
      </c>
      <c r="F41" s="17" t="n">
        <f aca="false">E41/Assumptions!$C$6</f>
        <v>909.090909090909</v>
      </c>
      <c r="G41" s="2"/>
      <c r="H41" s="2"/>
      <c r="I41" s="2"/>
      <c r="J41" s="2"/>
      <c r="K41" s="2"/>
    </row>
    <row r="42" customFormat="false" ht="15" hidden="false" customHeight="true" outlineLevel="0" collapsed="false">
      <c r="A42" s="2"/>
      <c r="B42" s="7" t="s">
        <v>203</v>
      </c>
      <c r="C42" s="14" t="n">
        <v>6</v>
      </c>
      <c r="D42" s="19" t="n">
        <v>2000</v>
      </c>
      <c r="E42" s="23" t="n">
        <f aca="false">C42*D42</f>
        <v>12000</v>
      </c>
      <c r="F42" s="17" t="n">
        <f aca="false">E42/Assumptions!$C$6</f>
        <v>3636.36363636364</v>
      </c>
      <c r="G42" s="2"/>
      <c r="H42" s="2"/>
      <c r="I42" s="2"/>
      <c r="J42" s="2"/>
      <c r="K42" s="2"/>
    </row>
    <row r="43" customFormat="false" ht="15" hidden="false" customHeight="true" outlineLevel="0" collapsed="false">
      <c r="A43" s="2"/>
      <c r="B43" s="7" t="s">
        <v>204</v>
      </c>
      <c r="C43" s="14" t="n">
        <v>1</v>
      </c>
      <c r="D43" s="19" t="n">
        <v>1500</v>
      </c>
      <c r="E43" s="23" t="n">
        <f aca="false">C43*D43</f>
        <v>1500</v>
      </c>
      <c r="F43" s="17" t="n">
        <f aca="false">E43/Assumptions!$C$6</f>
        <v>454.545454545455</v>
      </c>
      <c r="G43" s="2"/>
      <c r="H43" s="2"/>
      <c r="I43" s="2"/>
      <c r="J43" s="2"/>
      <c r="K43" s="2"/>
    </row>
    <row r="44" customFormat="false" ht="15" hidden="false" customHeight="true" outlineLevel="0" collapsed="false">
      <c r="A44" s="2"/>
      <c r="B44" s="15" t="s">
        <v>205</v>
      </c>
      <c r="C44" s="2"/>
      <c r="D44" s="2"/>
      <c r="E44" s="25" t="n">
        <f aca="false">SUM(E26:E43)</f>
        <v>104140</v>
      </c>
      <c r="F44" s="24" t="n">
        <f aca="false">SUM(F26:F43)</f>
        <v>31557.5757575758</v>
      </c>
      <c r="G44" s="2"/>
      <c r="H44" s="2"/>
      <c r="I44" s="2"/>
      <c r="J44" s="2"/>
      <c r="K44" s="2"/>
    </row>
    <row r="45" customFormat="false" ht="15" hidden="false" customHeight="true" outlineLevel="0" collapsed="false">
      <c r="A45" s="2"/>
      <c r="B45" s="4" t="s">
        <v>206</v>
      </c>
      <c r="C45" s="2"/>
      <c r="D45" s="2"/>
      <c r="E45" s="2"/>
      <c r="F45" s="2"/>
      <c r="G45" s="2"/>
      <c r="H45" s="2"/>
      <c r="I45" s="2"/>
      <c r="J45" s="2"/>
      <c r="K45" s="2"/>
    </row>
    <row r="46" customFormat="false" ht="15" hidden="false" customHeight="true" outlineLevel="0" collapsed="false">
      <c r="A46" s="2"/>
      <c r="B46" s="7" t="s">
        <v>207</v>
      </c>
      <c r="C46" s="2"/>
      <c r="D46" s="19" t="n">
        <v>10000</v>
      </c>
      <c r="E46" s="23" t="n">
        <f aca="false">D46</f>
        <v>10000</v>
      </c>
      <c r="F46" s="17" t="n">
        <f aca="false">E46/Assumptions!$C$6</f>
        <v>3030.30303030303</v>
      </c>
      <c r="G46" s="2"/>
      <c r="H46" s="2"/>
      <c r="I46" s="2"/>
      <c r="J46" s="2"/>
      <c r="K46" s="2"/>
    </row>
    <row r="47" customFormat="false" ht="15" hidden="false" customHeight="true" outlineLevel="0" collapsed="false">
      <c r="A47" s="2"/>
      <c r="B47" s="7" t="s">
        <v>208</v>
      </c>
      <c r="C47" s="2"/>
      <c r="D47" s="19" t="n">
        <v>3300</v>
      </c>
      <c r="E47" s="23" t="n">
        <f aca="false">D47</f>
        <v>3300</v>
      </c>
      <c r="F47" s="17" t="n">
        <f aca="false">E47/Assumptions!$C$6</f>
        <v>1000</v>
      </c>
      <c r="G47" s="4" t="s">
        <v>209</v>
      </c>
      <c r="H47" s="2"/>
      <c r="I47" s="2"/>
      <c r="J47" s="2"/>
      <c r="K47" s="2"/>
    </row>
    <row r="48" customFormat="false" ht="15" hidden="false" customHeight="true" outlineLevel="0" collapsed="false">
      <c r="A48" s="2"/>
      <c r="B48" s="7" t="s">
        <v>210</v>
      </c>
      <c r="C48" s="2"/>
      <c r="D48" s="19" t="n">
        <v>1980</v>
      </c>
      <c r="E48" s="23" t="n">
        <f aca="false">D48</f>
        <v>1980</v>
      </c>
      <c r="F48" s="17" t="n">
        <f aca="false">E48/Assumptions!$C$6</f>
        <v>600</v>
      </c>
      <c r="G48" s="4" t="s">
        <v>211</v>
      </c>
      <c r="H48" s="2"/>
      <c r="I48" s="2"/>
      <c r="J48" s="2"/>
      <c r="K48" s="2"/>
    </row>
    <row r="49" customFormat="false" ht="15" hidden="false" customHeight="true" outlineLevel="0" collapsed="false">
      <c r="A49" s="2"/>
      <c r="B49" s="7" t="s">
        <v>212</v>
      </c>
      <c r="C49" s="2"/>
      <c r="D49" s="19" t="n">
        <v>6600</v>
      </c>
      <c r="E49" s="23" t="n">
        <f aca="false">D49</f>
        <v>6600</v>
      </c>
      <c r="F49" s="17" t="n">
        <f aca="false">E49/Assumptions!$C$6</f>
        <v>2000</v>
      </c>
      <c r="G49" s="4" t="s">
        <v>213</v>
      </c>
      <c r="H49" s="2"/>
      <c r="I49" s="2"/>
      <c r="J49" s="2"/>
      <c r="K49" s="2"/>
    </row>
    <row r="50" customFormat="false" ht="15" hidden="false" customHeight="true" outlineLevel="0" collapsed="false">
      <c r="A50" s="2"/>
      <c r="B50" s="7" t="s">
        <v>214</v>
      </c>
      <c r="C50" s="2"/>
      <c r="D50" s="19" t="n">
        <v>1500</v>
      </c>
      <c r="E50" s="23" t="n">
        <f aca="false">D50</f>
        <v>1500</v>
      </c>
      <c r="F50" s="17" t="n">
        <f aca="false">E50/Assumptions!$C$6</f>
        <v>454.545454545455</v>
      </c>
      <c r="G50" s="2"/>
      <c r="H50" s="2"/>
      <c r="I50" s="2"/>
      <c r="J50" s="2"/>
      <c r="K50" s="2"/>
    </row>
    <row r="51" customFormat="false" ht="15" hidden="false" customHeight="true" outlineLevel="0" collapsed="false">
      <c r="A51" s="2"/>
      <c r="B51" s="7" t="s">
        <v>215</v>
      </c>
      <c r="C51" s="2"/>
      <c r="D51" s="19" t="n">
        <v>800</v>
      </c>
      <c r="E51" s="23" t="n">
        <f aca="false">D51</f>
        <v>800</v>
      </c>
      <c r="F51" s="17" t="n">
        <f aca="false">E51/Assumptions!$C$6</f>
        <v>242.424242424242</v>
      </c>
      <c r="G51" s="4" t="s">
        <v>216</v>
      </c>
      <c r="H51" s="2"/>
      <c r="I51" s="2"/>
      <c r="J51" s="2"/>
      <c r="K51" s="2"/>
    </row>
    <row r="52" customFormat="false" ht="15" hidden="false" customHeight="true" outlineLevel="0" collapsed="false">
      <c r="A52" s="2"/>
      <c r="B52" s="15" t="s">
        <v>217</v>
      </c>
      <c r="C52" s="2"/>
      <c r="D52" s="2"/>
      <c r="E52" s="25" t="n">
        <f aca="false">SUM(E46:E51)</f>
        <v>24180</v>
      </c>
      <c r="F52" s="24" t="n">
        <f aca="false">SUM(F46:F51)</f>
        <v>7327.27272727273</v>
      </c>
      <c r="G52" s="2"/>
      <c r="H52" s="2"/>
      <c r="I52" s="2"/>
      <c r="J52" s="2"/>
      <c r="K52" s="2"/>
    </row>
    <row r="53" customFormat="false" ht="15" hidden="false" customHeight="true" outlineLevel="0" collapsed="false">
      <c r="A53" s="2"/>
      <c r="B53" s="4" t="s">
        <v>218</v>
      </c>
      <c r="C53" s="2"/>
      <c r="D53" s="2"/>
      <c r="E53" s="2"/>
      <c r="F53" s="2"/>
      <c r="G53" s="2"/>
      <c r="H53" s="2"/>
      <c r="I53" s="2"/>
      <c r="J53" s="2"/>
      <c r="K53" s="2"/>
    </row>
    <row r="54" customFormat="false" ht="15" hidden="false" customHeight="true" outlineLevel="0" collapsed="false">
      <c r="A54" s="2"/>
      <c r="B54" s="7" t="s">
        <v>219</v>
      </c>
      <c r="C54" s="2"/>
      <c r="D54" s="19" t="n">
        <v>8000</v>
      </c>
      <c r="E54" s="23" t="n">
        <f aca="false">D54</f>
        <v>8000</v>
      </c>
      <c r="F54" s="17" t="n">
        <f aca="false">E54/Assumptions!$C$6</f>
        <v>2424.24242424242</v>
      </c>
      <c r="G54" s="2"/>
      <c r="H54" s="2"/>
      <c r="I54" s="2"/>
      <c r="J54" s="2"/>
      <c r="K54" s="2"/>
    </row>
    <row r="55" customFormat="false" ht="15" hidden="false" customHeight="true" outlineLevel="0" collapsed="false">
      <c r="A55" s="2"/>
      <c r="B55" s="7" t="s">
        <v>220</v>
      </c>
      <c r="C55" s="2"/>
      <c r="D55" s="19" t="n">
        <v>3000</v>
      </c>
      <c r="E55" s="23" t="n">
        <f aca="false">D55</f>
        <v>3000</v>
      </c>
      <c r="F55" s="17" t="n">
        <f aca="false">E55/Assumptions!$C$6</f>
        <v>909.090909090909</v>
      </c>
      <c r="G55" s="2"/>
      <c r="H55" s="2"/>
      <c r="I55" s="2"/>
      <c r="J55" s="2"/>
      <c r="K55" s="2"/>
    </row>
    <row r="56" customFormat="false" ht="15" hidden="false" customHeight="true" outlineLevel="0" collapsed="false">
      <c r="A56" s="2"/>
      <c r="B56" s="15" t="s">
        <v>221</v>
      </c>
      <c r="C56" s="2"/>
      <c r="D56" s="2"/>
      <c r="E56" s="25" t="n">
        <f aca="false">SUM(E54:E55)</f>
        <v>11000</v>
      </c>
      <c r="F56" s="24" t="n">
        <f aca="false">SUM(F54:F55)</f>
        <v>3333.33333333333</v>
      </c>
      <c r="G56" s="2"/>
      <c r="H56" s="2"/>
      <c r="I56" s="2"/>
      <c r="J56" s="2"/>
      <c r="K56" s="2"/>
    </row>
    <row r="57" customFormat="false" ht="15" hidden="false" customHeight="true" outlineLevel="0" collapsed="false">
      <c r="A57" s="2"/>
      <c r="B57" s="15" t="s">
        <v>222</v>
      </c>
      <c r="C57" s="2"/>
      <c r="D57" s="2"/>
      <c r="E57" s="25" t="n">
        <f aca="false">E44+E52+E56</f>
        <v>139320</v>
      </c>
      <c r="F57" s="24" t="n">
        <f aca="false">F44+F52+F56</f>
        <v>42218.1818181818</v>
      </c>
      <c r="G57" s="2"/>
      <c r="H57" s="2"/>
      <c r="I57" s="2"/>
      <c r="J57" s="2"/>
      <c r="K57" s="2"/>
    </row>
    <row r="58" customFormat="false" ht="15" hidden="false" customHeight="true" outlineLevel="0" collapsed="fals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customFormat="false" ht="15" hidden="false" customHeight="true" outlineLevel="0" collapsed="false">
      <c r="A59" s="2"/>
      <c r="B59" s="5" t="s">
        <v>223</v>
      </c>
      <c r="C59" s="6"/>
      <c r="D59" s="6"/>
      <c r="E59" s="6"/>
      <c r="F59" s="6"/>
      <c r="G59" s="2"/>
      <c r="H59" s="2"/>
      <c r="I59" s="2"/>
      <c r="J59" s="2"/>
      <c r="K59" s="2"/>
    </row>
    <row r="60" customFormat="false" ht="15" hidden="false" customHeight="true" outlineLevel="0" collapsed="false">
      <c r="A60" s="2"/>
      <c r="B60" s="7" t="s">
        <v>224</v>
      </c>
      <c r="C60" s="2"/>
      <c r="D60" s="19" t="n">
        <v>3000</v>
      </c>
      <c r="E60" s="23" t="n">
        <f aca="false">D60</f>
        <v>3000</v>
      </c>
      <c r="F60" s="17" t="n">
        <f aca="false">E60/Assumptions!$C$6</f>
        <v>909.090909090909</v>
      </c>
      <c r="G60" s="2"/>
      <c r="H60" s="2"/>
      <c r="I60" s="2"/>
      <c r="J60" s="2"/>
      <c r="K60" s="2"/>
    </row>
    <row r="61" customFormat="false" ht="15" hidden="false" customHeight="true" outlineLevel="0" collapsed="false">
      <c r="A61" s="2"/>
      <c r="B61" s="7" t="s">
        <v>225</v>
      </c>
      <c r="C61" s="2"/>
      <c r="D61" s="19" t="n">
        <v>2000</v>
      </c>
      <c r="E61" s="23" t="n">
        <f aca="false">D61</f>
        <v>2000</v>
      </c>
      <c r="F61" s="17" t="n">
        <f aca="false">E61/Assumptions!$C$6</f>
        <v>606.060606060606</v>
      </c>
      <c r="G61" s="2"/>
      <c r="H61" s="2"/>
      <c r="I61" s="2"/>
      <c r="J61" s="2"/>
      <c r="K61" s="2"/>
    </row>
    <row r="62" customFormat="false" ht="15" hidden="false" customHeight="true" outlineLevel="0" collapsed="false">
      <c r="A62" s="2"/>
      <c r="B62" s="7" t="s">
        <v>226</v>
      </c>
      <c r="C62" s="2"/>
      <c r="D62" s="19" t="n">
        <v>1000</v>
      </c>
      <c r="E62" s="23" t="n">
        <f aca="false">D62</f>
        <v>1000</v>
      </c>
      <c r="F62" s="17" t="n">
        <f aca="false">E62/Assumptions!$C$6</f>
        <v>303.030303030303</v>
      </c>
      <c r="G62" s="2"/>
      <c r="H62" s="2"/>
      <c r="I62" s="2"/>
      <c r="J62" s="2"/>
      <c r="K62" s="2"/>
    </row>
    <row r="63" customFormat="false" ht="15" hidden="false" customHeight="true" outlineLevel="0" collapsed="false">
      <c r="A63" s="2"/>
      <c r="B63" s="7" t="s">
        <v>200</v>
      </c>
      <c r="C63" s="2"/>
      <c r="D63" s="19" t="n">
        <v>5000</v>
      </c>
      <c r="E63" s="23" t="n">
        <f aca="false">D63</f>
        <v>5000</v>
      </c>
      <c r="F63" s="17" t="n">
        <f aca="false">E63/Assumptions!$C$6</f>
        <v>1515.15151515152</v>
      </c>
      <c r="G63" s="2"/>
      <c r="H63" s="2"/>
      <c r="I63" s="2"/>
      <c r="J63" s="2"/>
      <c r="K63" s="2"/>
    </row>
    <row r="64" customFormat="false" ht="15" hidden="false" customHeight="true" outlineLevel="0" collapsed="false">
      <c r="A64" s="2"/>
      <c r="B64" s="7" t="s">
        <v>227</v>
      </c>
      <c r="C64" s="2"/>
      <c r="D64" s="19" t="n">
        <v>2000</v>
      </c>
      <c r="E64" s="23" t="n">
        <f aca="false">D64</f>
        <v>2000</v>
      </c>
      <c r="F64" s="17" t="n">
        <f aca="false">E64/Assumptions!$C$6</f>
        <v>606.060606060606</v>
      </c>
      <c r="G64" s="2"/>
      <c r="H64" s="2"/>
      <c r="I64" s="2"/>
      <c r="J64" s="2"/>
      <c r="K64" s="2"/>
    </row>
    <row r="65" customFormat="false" ht="15" hidden="false" customHeight="true" outlineLevel="0" collapsed="false">
      <c r="A65" s="2"/>
      <c r="B65" s="7" t="s">
        <v>204</v>
      </c>
      <c r="C65" s="2"/>
      <c r="D65" s="19" t="n">
        <v>600</v>
      </c>
      <c r="E65" s="23" t="n">
        <f aca="false">D65</f>
        <v>600</v>
      </c>
      <c r="F65" s="17" t="n">
        <f aca="false">E65/Assumptions!$C$6</f>
        <v>181.818181818182</v>
      </c>
      <c r="G65" s="2"/>
      <c r="H65" s="2"/>
      <c r="I65" s="2"/>
      <c r="J65" s="2"/>
      <c r="K65" s="2"/>
    </row>
    <row r="66" customFormat="false" ht="15" hidden="false" customHeight="true" outlineLevel="0" collapsed="false">
      <c r="A66" s="2"/>
      <c r="B66" s="7" t="s">
        <v>228</v>
      </c>
      <c r="C66" s="2"/>
      <c r="D66" s="19" t="n">
        <v>1500</v>
      </c>
      <c r="E66" s="23" t="n">
        <f aca="false">D66</f>
        <v>1500</v>
      </c>
      <c r="F66" s="17" t="n">
        <f aca="false">E66/Assumptions!$C$6</f>
        <v>454.545454545455</v>
      </c>
      <c r="G66" s="2"/>
      <c r="H66" s="2"/>
      <c r="I66" s="2"/>
      <c r="J66" s="2"/>
      <c r="K66" s="2"/>
    </row>
    <row r="67" customFormat="false" ht="15" hidden="false" customHeight="true" outlineLevel="0" collapsed="false">
      <c r="A67" s="2"/>
      <c r="B67" s="15" t="s">
        <v>229</v>
      </c>
      <c r="C67" s="2" t="n">
        <v>4576</v>
      </c>
      <c r="D67" s="2" t="s">
        <v>230</v>
      </c>
      <c r="E67" s="25" t="n">
        <f aca="false">SUM(E60:E66)</f>
        <v>15100</v>
      </c>
      <c r="F67" s="24" t="n">
        <f aca="false">SUM(F60:F66)</f>
        <v>4575.75757575758</v>
      </c>
      <c r="G67" s="2"/>
      <c r="H67" s="2"/>
      <c r="I67" s="2"/>
      <c r="J67" s="2"/>
      <c r="K67" s="2"/>
    </row>
    <row r="68" customFormat="false" ht="15" hidden="false" customHeight="true" outlineLevel="0" collapsed="fals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customFormat="false" ht="15" hidden="false" customHeight="true" outlineLevel="0" collapsed="fals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</sheetData>
  <mergeCells count="1">
    <mergeCell ref="B1:J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3C2E"/>
    <pageSetUpPr fitToPage="false"/>
  </sheetPr>
  <dimension ref="A1:L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6796875" defaultRowHeight="15" customHeight="fals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24"/>
    <col collapsed="false" customWidth="true" hidden="false" outlineLevel="0" max="3" min="3" style="1" width="7"/>
    <col collapsed="false" customWidth="true" hidden="false" outlineLevel="0" max="5" min="4" style="1" width="10"/>
    <col collapsed="false" customWidth="true" hidden="false" outlineLevel="0" max="6" min="6" style="1" width="9"/>
    <col collapsed="false" customWidth="true" hidden="false" outlineLevel="0" max="11" min="7" style="1" width="11"/>
  </cols>
  <sheetData>
    <row r="1" customFormat="false" ht="31.5" hidden="false" customHeight="true" outlineLevel="0" collapsed="false">
      <c r="A1" s="2"/>
      <c r="B1" s="3" t="s">
        <v>231</v>
      </c>
      <c r="C1" s="3"/>
      <c r="D1" s="3"/>
      <c r="E1" s="3"/>
      <c r="F1" s="3"/>
      <c r="G1" s="3"/>
      <c r="H1" s="3"/>
      <c r="I1" s="3"/>
      <c r="J1" s="3"/>
      <c r="K1" s="3"/>
      <c r="L1" s="2"/>
    </row>
    <row r="2" customFormat="false" ht="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true" outlineLevel="0" collapsed="false">
      <c r="A3" s="2"/>
      <c r="B3" s="4" t="s">
        <v>58</v>
      </c>
      <c r="C3" s="4" t="s">
        <v>59</v>
      </c>
      <c r="D3" s="4" t="s">
        <v>61</v>
      </c>
      <c r="E3" s="4" t="s">
        <v>232</v>
      </c>
      <c r="F3" s="4" t="s">
        <v>60</v>
      </c>
      <c r="G3" s="4" t="s">
        <v>233</v>
      </c>
      <c r="H3" s="4" t="s">
        <v>234</v>
      </c>
      <c r="I3" s="4" t="s">
        <v>235</v>
      </c>
      <c r="J3" s="4" t="s">
        <v>236</v>
      </c>
      <c r="K3" s="4" t="s">
        <v>237</v>
      </c>
      <c r="L3" s="2"/>
    </row>
    <row r="4" customFormat="false" ht="15" hidden="false" customHeight="true" outlineLevel="0" collapsed="false">
      <c r="A4" s="2"/>
      <c r="B4" s="7" t="s">
        <v>62</v>
      </c>
      <c r="C4" s="26" t="n">
        <f aca="false">Assumptions!C18</f>
        <v>8</v>
      </c>
      <c r="D4" s="26" t="n">
        <f aca="false">Assumptions!E18</f>
        <v>2</v>
      </c>
      <c r="E4" s="16" t="n">
        <f aca="false">C4*D4</f>
        <v>16</v>
      </c>
      <c r="F4" s="27" t="n">
        <f aca="false">Assumptions!D18</f>
        <v>150</v>
      </c>
      <c r="G4" s="17" t="n">
        <f aca="false">C4*F4*30*0.2</f>
        <v>7200</v>
      </c>
      <c r="H4" s="17" t="n">
        <f aca="false">C4*F4*30*0.3</f>
        <v>10800</v>
      </c>
      <c r="I4" s="17" t="n">
        <f aca="false">C4*F4*30*0.4</f>
        <v>14400</v>
      </c>
      <c r="J4" s="17" t="n">
        <f aca="false">C4*F4*30*0.5</f>
        <v>18000</v>
      </c>
      <c r="K4" s="17" t="n">
        <f aca="false">C4*F4*30*0.6</f>
        <v>21600</v>
      </c>
      <c r="L4" s="2"/>
    </row>
    <row r="5" customFormat="false" ht="15" hidden="false" customHeight="true" outlineLevel="0" collapsed="false">
      <c r="A5" s="2"/>
      <c r="B5" s="7" t="s">
        <v>63</v>
      </c>
      <c r="C5" s="26" t="n">
        <f aca="false">Assumptions!C19</f>
        <v>12</v>
      </c>
      <c r="D5" s="26" t="n">
        <f aca="false">Assumptions!E19</f>
        <v>2</v>
      </c>
      <c r="E5" s="16" t="n">
        <f aca="false">C5*D5</f>
        <v>24</v>
      </c>
      <c r="F5" s="27" t="n">
        <f aca="false">Assumptions!D19</f>
        <v>250</v>
      </c>
      <c r="G5" s="17" t="n">
        <f aca="false">C5*F5*30*0.2</f>
        <v>18000</v>
      </c>
      <c r="H5" s="17" t="n">
        <f aca="false">C5*F5*30*0.3</f>
        <v>27000</v>
      </c>
      <c r="I5" s="17" t="n">
        <f aca="false">C5*F5*30*0.4</f>
        <v>36000</v>
      </c>
      <c r="J5" s="17" t="n">
        <f aca="false">C5*F5*30*0.5</f>
        <v>45000</v>
      </c>
      <c r="K5" s="17" t="n">
        <f aca="false">C5*F5*30*0.6</f>
        <v>54000</v>
      </c>
      <c r="L5" s="2"/>
    </row>
    <row r="6" customFormat="false" ht="15" hidden="false" customHeight="true" outlineLevel="0" collapsed="false">
      <c r="A6" s="2"/>
      <c r="B6" s="7" t="s">
        <v>64</v>
      </c>
      <c r="C6" s="26" t="n">
        <f aca="false">Assumptions!C20</f>
        <v>8</v>
      </c>
      <c r="D6" s="26" t="n">
        <f aca="false">Assumptions!E20</f>
        <v>2</v>
      </c>
      <c r="E6" s="16" t="n">
        <f aca="false">C6*D6</f>
        <v>16</v>
      </c>
      <c r="F6" s="27" t="n">
        <f aca="false">Assumptions!D20</f>
        <v>350</v>
      </c>
      <c r="G6" s="17" t="n">
        <f aca="false">C6*F6*30*0.2</f>
        <v>16800</v>
      </c>
      <c r="H6" s="17" t="n">
        <f aca="false">C6*F6*30*0.3</f>
        <v>25200</v>
      </c>
      <c r="I6" s="17" t="n">
        <f aca="false">C6*F6*30*0.4</f>
        <v>33600</v>
      </c>
      <c r="J6" s="17" t="n">
        <f aca="false">C6*F6*30*0.5</f>
        <v>42000</v>
      </c>
      <c r="K6" s="17" t="n">
        <f aca="false">C6*F6*30*0.6</f>
        <v>50400</v>
      </c>
      <c r="L6" s="2"/>
    </row>
    <row r="7" customFormat="false" ht="15" hidden="false" customHeight="true" outlineLevel="0" collapsed="false">
      <c r="A7" s="2"/>
      <c r="B7" s="7" t="s">
        <v>65</v>
      </c>
      <c r="C7" s="26" t="n">
        <f aca="false">Assumptions!C21</f>
        <v>4</v>
      </c>
      <c r="D7" s="26" t="n">
        <f aca="false">Assumptions!E21</f>
        <v>2</v>
      </c>
      <c r="E7" s="16" t="n">
        <f aca="false">C7*D7</f>
        <v>8</v>
      </c>
      <c r="F7" s="27" t="n">
        <f aca="false">Assumptions!D21</f>
        <v>400</v>
      </c>
      <c r="G7" s="17" t="n">
        <f aca="false">C7*F7*30*0.2</f>
        <v>9600</v>
      </c>
      <c r="H7" s="17" t="n">
        <f aca="false">C7*F7*30*0.3</f>
        <v>14400</v>
      </c>
      <c r="I7" s="17" t="n">
        <f aca="false">C7*F7*30*0.4</f>
        <v>19200</v>
      </c>
      <c r="J7" s="17" t="n">
        <f aca="false">C7*F7*30*0.5</f>
        <v>24000</v>
      </c>
      <c r="K7" s="17" t="n">
        <f aca="false">C7*F7*30*0.6</f>
        <v>28800</v>
      </c>
      <c r="L7" s="2"/>
    </row>
    <row r="8" customFormat="false" ht="15" hidden="false" customHeight="true" outlineLevel="0" collapsed="false">
      <c r="A8" s="2"/>
      <c r="B8" s="7" t="s">
        <v>66</v>
      </c>
      <c r="C8" s="26" t="n">
        <f aca="false">Assumptions!C22</f>
        <v>2</v>
      </c>
      <c r="D8" s="26" t="n">
        <f aca="false">Assumptions!E22</f>
        <v>4</v>
      </c>
      <c r="E8" s="16" t="n">
        <f aca="false">C8*D8</f>
        <v>8</v>
      </c>
      <c r="F8" s="27" t="n">
        <f aca="false">Assumptions!D22</f>
        <v>550</v>
      </c>
      <c r="G8" s="17" t="n">
        <f aca="false">C8*F8*30*0.2</f>
        <v>6600</v>
      </c>
      <c r="H8" s="17" t="n">
        <f aca="false">C8*F8*30*0.3</f>
        <v>9900</v>
      </c>
      <c r="I8" s="17" t="n">
        <f aca="false">C8*F8*30*0.4</f>
        <v>13200</v>
      </c>
      <c r="J8" s="17" t="n">
        <f aca="false">C8*F8*30*0.5</f>
        <v>16500</v>
      </c>
      <c r="K8" s="17" t="n">
        <f aca="false">C8*F8*30*0.6</f>
        <v>19800</v>
      </c>
      <c r="L8" s="2"/>
    </row>
    <row r="9" customFormat="false" ht="15" hidden="false" customHeight="true" outlineLevel="0" collapsed="false">
      <c r="A9" s="2"/>
      <c r="B9" s="7" t="s">
        <v>67</v>
      </c>
      <c r="C9" s="26" t="n">
        <f aca="false">Assumptions!C23</f>
        <v>1</v>
      </c>
      <c r="D9" s="26" t="n">
        <f aca="false">Assumptions!E23</f>
        <v>4</v>
      </c>
      <c r="E9" s="16" t="n">
        <f aca="false">C9*D9</f>
        <v>4</v>
      </c>
      <c r="F9" s="27" t="n">
        <f aca="false">Assumptions!D23</f>
        <v>650</v>
      </c>
      <c r="G9" s="17" t="n">
        <f aca="false">C9*F9*30*0.2</f>
        <v>3900</v>
      </c>
      <c r="H9" s="17" t="n">
        <f aca="false">C9*F9*30*0.3</f>
        <v>5850</v>
      </c>
      <c r="I9" s="17" t="n">
        <f aca="false">C9*F9*30*0.4</f>
        <v>7800</v>
      </c>
      <c r="J9" s="17" t="n">
        <f aca="false">C9*F9*30*0.5</f>
        <v>9750</v>
      </c>
      <c r="K9" s="17" t="n">
        <f aca="false">C9*F9*30*0.6</f>
        <v>11700</v>
      </c>
      <c r="L9" s="2"/>
    </row>
    <row r="10" customFormat="false" ht="15" hidden="false" customHeight="true" outlineLevel="0" collapsed="false">
      <c r="A10" s="2"/>
      <c r="B10" s="15" t="s">
        <v>238</v>
      </c>
      <c r="C10" s="28" t="n">
        <f aca="false">SUM(C4:C9)</f>
        <v>35</v>
      </c>
      <c r="D10" s="2"/>
      <c r="E10" s="28" t="n">
        <f aca="false">SUM(E4:E9)</f>
        <v>76</v>
      </c>
      <c r="F10" s="2"/>
      <c r="G10" s="24" t="n">
        <f aca="false">SUM(G4:G9)</f>
        <v>62100</v>
      </c>
      <c r="H10" s="24" t="n">
        <f aca="false">SUM(H4:H9)</f>
        <v>93150</v>
      </c>
      <c r="I10" s="24" t="n">
        <f aca="false">SUM(I4:I9)</f>
        <v>124200</v>
      </c>
      <c r="J10" s="24" t="n">
        <f aca="false">SUM(J4:J9)</f>
        <v>155250</v>
      </c>
      <c r="K10" s="24" t="n">
        <f aca="false">SUM(K4:K9)</f>
        <v>186300</v>
      </c>
      <c r="L10" s="2"/>
    </row>
    <row r="11" customFormat="false" ht="15" hidden="false" customHeight="tru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customFormat="false" ht="15" hidden="false" customHeight="true" outlineLevel="0" collapsed="false">
      <c r="A12" s="2"/>
      <c r="B12" s="4" t="s">
        <v>239</v>
      </c>
      <c r="C12" s="2"/>
      <c r="D12" s="2"/>
      <c r="E12" s="2"/>
      <c r="F12" s="2"/>
      <c r="G12" s="2"/>
      <c r="H12" s="2"/>
      <c r="I12" s="2"/>
      <c r="J12" s="2"/>
      <c r="K12" s="2"/>
      <c r="L12" s="2"/>
    </row>
    <row r="13" customFormat="false" ht="15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customFormat="false" ht="15" hidden="false" customHeight="true" outlineLevel="0" collapsed="false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mergeCells count="1">
    <mergeCell ref="B1:K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3C2E"/>
    <pageSetUpPr fitToPage="false"/>
  </sheetPr>
  <dimension ref="A1:J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6796875" defaultRowHeight="15" customHeight="fals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44"/>
    <col collapsed="false" customWidth="true" hidden="false" outlineLevel="0" max="4" min="3" style="1" width="11"/>
    <col collapsed="false" customWidth="true" hidden="false" outlineLevel="0" max="5" min="5" style="1" width="30"/>
    <col collapsed="false" customWidth="true" hidden="false" outlineLevel="0" max="10" min="6" style="1" width="13"/>
    <col collapsed="false" customWidth="true" hidden="false" outlineLevel="0" max="11" min="11" style="1" width="30"/>
  </cols>
  <sheetData>
    <row r="1" customFormat="false" ht="31.5" hidden="false" customHeight="true" outlineLevel="0" collapsed="false">
      <c r="A1" s="2"/>
      <c r="B1" s="3" t="s">
        <v>240</v>
      </c>
      <c r="C1" s="3"/>
      <c r="D1" s="3"/>
      <c r="E1" s="3"/>
      <c r="F1" s="3"/>
      <c r="G1" s="2"/>
      <c r="H1" s="2"/>
      <c r="I1" s="2"/>
      <c r="J1" s="2"/>
    </row>
    <row r="2" customFormat="false" ht="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</row>
    <row r="3" customFormat="false" ht="15" hidden="false" customHeight="true" outlineLevel="0" collapsed="false">
      <c r="A3" s="2"/>
      <c r="B3" s="5" t="s">
        <v>241</v>
      </c>
      <c r="C3" s="6"/>
      <c r="D3" s="6"/>
      <c r="E3" s="2"/>
      <c r="F3" s="2"/>
      <c r="G3" s="2"/>
      <c r="H3" s="2"/>
      <c r="I3" s="2"/>
      <c r="J3" s="2"/>
    </row>
    <row r="4" customFormat="false" ht="15" hidden="false" customHeight="true" outlineLevel="0" collapsed="false">
      <c r="A4" s="2"/>
      <c r="B4" s="4" t="s">
        <v>172</v>
      </c>
      <c r="C4" s="4" t="s">
        <v>242</v>
      </c>
      <c r="D4" s="4" t="s">
        <v>243</v>
      </c>
      <c r="E4" s="2"/>
      <c r="F4" s="2"/>
      <c r="G4" s="2"/>
      <c r="H4" s="2"/>
      <c r="I4" s="2"/>
      <c r="J4" s="2"/>
    </row>
    <row r="5" customFormat="false" ht="15" hidden="false" customHeight="true" outlineLevel="0" collapsed="false">
      <c r="A5" s="2"/>
      <c r="B5" s="4" t="s">
        <v>244</v>
      </c>
      <c r="C5" s="2"/>
      <c r="D5" s="2"/>
      <c r="E5" s="2"/>
      <c r="F5" s="2"/>
      <c r="G5" s="2"/>
      <c r="H5" s="2"/>
      <c r="I5" s="2"/>
      <c r="J5" s="2"/>
    </row>
    <row r="6" customFormat="false" ht="15" hidden="false" customHeight="true" outlineLevel="0" collapsed="false">
      <c r="A6" s="2"/>
      <c r="B6" s="7" t="s">
        <v>245</v>
      </c>
      <c r="C6" s="19" t="n">
        <v>50</v>
      </c>
      <c r="D6" s="29" t="n">
        <f aca="false">C6/Assumptions!$C$6</f>
        <v>15.1515151515152</v>
      </c>
      <c r="E6" s="2"/>
      <c r="F6" s="2"/>
      <c r="G6" s="2"/>
      <c r="H6" s="2"/>
      <c r="I6" s="2"/>
      <c r="J6" s="2"/>
    </row>
    <row r="7" customFormat="false" ht="15" hidden="false" customHeight="true" outlineLevel="0" collapsed="false">
      <c r="A7" s="2"/>
      <c r="B7" s="7" t="s">
        <v>246</v>
      </c>
      <c r="C7" s="19" t="n">
        <v>100</v>
      </c>
      <c r="D7" s="29" t="n">
        <f aca="false">C7/Assumptions!$C$6</f>
        <v>30.3030303030303</v>
      </c>
      <c r="E7" s="2"/>
      <c r="F7" s="2"/>
      <c r="G7" s="2"/>
      <c r="H7" s="2"/>
      <c r="I7" s="2"/>
      <c r="J7" s="2"/>
    </row>
    <row r="8" customFormat="false" ht="15" hidden="false" customHeight="true" outlineLevel="0" collapsed="false">
      <c r="A8" s="2"/>
      <c r="B8" s="7" t="s">
        <v>247</v>
      </c>
      <c r="C8" s="19" t="n">
        <v>30</v>
      </c>
      <c r="D8" s="29" t="n">
        <f aca="false">C8/Assumptions!$C$6</f>
        <v>9.09090909090909</v>
      </c>
      <c r="E8" s="2"/>
      <c r="F8" s="2"/>
      <c r="G8" s="2"/>
      <c r="H8" s="2"/>
      <c r="I8" s="2"/>
      <c r="J8" s="2"/>
    </row>
    <row r="9" customFormat="false" ht="15" hidden="false" customHeight="true" outlineLevel="0" collapsed="false">
      <c r="A9" s="2"/>
      <c r="B9" s="7" t="s">
        <v>248</v>
      </c>
      <c r="C9" s="19" t="n">
        <v>30</v>
      </c>
      <c r="D9" s="29" t="n">
        <f aca="false">C9/Assumptions!$C$6</f>
        <v>9.09090909090909</v>
      </c>
      <c r="E9" s="2"/>
      <c r="F9" s="2"/>
      <c r="G9" s="2"/>
      <c r="H9" s="2"/>
      <c r="I9" s="2"/>
      <c r="J9" s="2"/>
    </row>
    <row r="10" customFormat="false" ht="15" hidden="false" customHeight="true" outlineLevel="0" collapsed="false">
      <c r="A10" s="2"/>
      <c r="B10" s="7" t="s">
        <v>249</v>
      </c>
      <c r="C10" s="19" t="n">
        <v>100</v>
      </c>
      <c r="D10" s="29" t="n">
        <f aca="false">C10/Assumptions!$C$6</f>
        <v>30.3030303030303</v>
      </c>
      <c r="E10" s="2"/>
      <c r="F10" s="2"/>
      <c r="G10" s="2"/>
      <c r="H10" s="2"/>
      <c r="I10" s="2"/>
      <c r="J10" s="2"/>
    </row>
    <row r="11" customFormat="false" ht="15" hidden="false" customHeight="true" outlineLevel="0" collapsed="false">
      <c r="A11" s="2"/>
      <c r="B11" s="7" t="s">
        <v>250</v>
      </c>
      <c r="C11" s="19" t="n">
        <v>50</v>
      </c>
      <c r="D11" s="29" t="n">
        <f aca="false">C11/Assumptions!$C$6</f>
        <v>15.1515151515152</v>
      </c>
      <c r="E11" s="2"/>
      <c r="F11" s="2"/>
      <c r="G11" s="2"/>
      <c r="H11" s="2"/>
      <c r="I11" s="2"/>
      <c r="J11" s="2"/>
    </row>
    <row r="12" customFormat="false" ht="15" hidden="false" customHeight="true" outlineLevel="0" collapsed="false">
      <c r="A12" s="2"/>
      <c r="B12" s="15" t="s">
        <v>251</v>
      </c>
      <c r="C12" s="25" t="n">
        <f aca="false">SUM(C6:C11)</f>
        <v>360</v>
      </c>
      <c r="D12" s="30" t="n">
        <f aca="false">SUM(D6:D11)</f>
        <v>109.090909090909</v>
      </c>
      <c r="E12" s="2"/>
      <c r="F12" s="2"/>
      <c r="G12" s="2"/>
      <c r="H12" s="2"/>
      <c r="I12" s="2"/>
      <c r="J12" s="2"/>
    </row>
    <row r="13" customFormat="false" ht="15" hidden="false" customHeight="true" outlineLevel="0" collapsed="false">
      <c r="A13" s="2"/>
      <c r="B13" s="4" t="s">
        <v>252</v>
      </c>
      <c r="C13" s="2"/>
      <c r="D13" s="2"/>
      <c r="E13" s="2"/>
      <c r="F13" s="2"/>
      <c r="G13" s="2"/>
      <c r="H13" s="2"/>
      <c r="I13" s="2"/>
      <c r="J13" s="2"/>
    </row>
    <row r="14" customFormat="false" ht="15" hidden="false" customHeight="true" outlineLevel="0" collapsed="false">
      <c r="A14" s="2"/>
      <c r="B14" s="7" t="s">
        <v>253</v>
      </c>
      <c r="C14" s="19" t="n">
        <v>60</v>
      </c>
      <c r="D14" s="29" t="n">
        <f aca="false">C14/Assumptions!$C$6</f>
        <v>18.1818181818182</v>
      </c>
      <c r="E14" s="2"/>
      <c r="F14" s="2"/>
      <c r="G14" s="2"/>
      <c r="H14" s="2"/>
      <c r="I14" s="2"/>
      <c r="J14" s="2"/>
    </row>
    <row r="15" customFormat="false" ht="15" hidden="false" customHeight="true" outlineLevel="0" collapsed="false">
      <c r="A15" s="2"/>
      <c r="B15" s="7" t="s">
        <v>254</v>
      </c>
      <c r="C15" s="19" t="n">
        <v>30</v>
      </c>
      <c r="D15" s="29" t="n">
        <f aca="false">C15/Assumptions!$C$6</f>
        <v>9.09090909090909</v>
      </c>
      <c r="E15" s="2"/>
      <c r="F15" s="2"/>
      <c r="G15" s="2"/>
      <c r="H15" s="2"/>
      <c r="I15" s="2"/>
      <c r="J15" s="2"/>
    </row>
    <row r="16" customFormat="false" ht="15" hidden="false" customHeight="true" outlineLevel="0" collapsed="false">
      <c r="A16" s="2"/>
      <c r="B16" s="7" t="s">
        <v>255</v>
      </c>
      <c r="C16" s="19" t="n">
        <v>5</v>
      </c>
      <c r="D16" s="29" t="n">
        <f aca="false">C16/Assumptions!$C$6</f>
        <v>1.51515151515152</v>
      </c>
      <c r="E16" s="2"/>
      <c r="F16" s="2"/>
      <c r="G16" s="2"/>
      <c r="H16" s="2"/>
      <c r="I16" s="2"/>
      <c r="J16" s="2"/>
    </row>
    <row r="17" customFormat="false" ht="15" hidden="false" customHeight="true" outlineLevel="0" collapsed="false">
      <c r="A17" s="2"/>
      <c r="B17" s="7" t="s">
        <v>256</v>
      </c>
      <c r="C17" s="19" t="n">
        <v>20</v>
      </c>
      <c r="D17" s="29" t="n">
        <f aca="false">C17/Assumptions!$C$6</f>
        <v>6.06060606060606</v>
      </c>
      <c r="E17" s="2"/>
      <c r="F17" s="2"/>
      <c r="G17" s="2"/>
      <c r="H17" s="2"/>
      <c r="I17" s="2"/>
      <c r="J17" s="2"/>
    </row>
    <row r="18" customFormat="false" ht="15" hidden="false" customHeight="true" outlineLevel="0" collapsed="false">
      <c r="A18" s="2"/>
      <c r="B18" s="7" t="s">
        <v>257</v>
      </c>
      <c r="C18" s="19" t="n">
        <v>40</v>
      </c>
      <c r="D18" s="29" t="n">
        <f aca="false">C18/Assumptions!$C$6</f>
        <v>12.1212121212121</v>
      </c>
      <c r="E18" s="2"/>
      <c r="F18" s="2"/>
      <c r="G18" s="2"/>
      <c r="H18" s="2"/>
      <c r="I18" s="2"/>
      <c r="J18" s="2"/>
    </row>
    <row r="19" customFormat="false" ht="15" hidden="false" customHeight="true" outlineLevel="0" collapsed="false">
      <c r="A19" s="2"/>
      <c r="B19" s="7" t="s">
        <v>258</v>
      </c>
      <c r="C19" s="19" t="n">
        <v>25</v>
      </c>
      <c r="D19" s="29" t="n">
        <f aca="false">C19/Assumptions!$C$6</f>
        <v>7.57575757575758</v>
      </c>
      <c r="E19" s="2"/>
      <c r="F19" s="2"/>
      <c r="G19" s="2"/>
      <c r="H19" s="2"/>
      <c r="I19" s="2"/>
      <c r="J19" s="2"/>
    </row>
    <row r="20" customFormat="false" ht="15" hidden="false" customHeight="true" outlineLevel="0" collapsed="false">
      <c r="A20" s="2"/>
      <c r="B20" s="7" t="s">
        <v>259</v>
      </c>
      <c r="C20" s="19" t="n">
        <v>40</v>
      </c>
      <c r="D20" s="29" t="n">
        <f aca="false">C20/Assumptions!$C$6</f>
        <v>12.1212121212121</v>
      </c>
      <c r="E20" s="2"/>
      <c r="F20" s="2"/>
      <c r="G20" s="2"/>
      <c r="H20" s="2"/>
      <c r="I20" s="2"/>
      <c r="J20" s="2"/>
    </row>
    <row r="21" customFormat="false" ht="15" hidden="false" customHeight="true" outlineLevel="0" collapsed="false">
      <c r="A21" s="2"/>
      <c r="B21" s="7" t="s">
        <v>260</v>
      </c>
      <c r="C21" s="19" t="n">
        <v>70</v>
      </c>
      <c r="D21" s="29" t="n">
        <f aca="false">C21/Assumptions!$C$6</f>
        <v>21.2121212121212</v>
      </c>
      <c r="E21" s="2"/>
      <c r="F21" s="2"/>
      <c r="G21" s="2"/>
      <c r="H21" s="2"/>
      <c r="I21" s="2"/>
      <c r="J21" s="2"/>
    </row>
    <row r="22" customFormat="false" ht="15" hidden="false" customHeight="true" outlineLevel="0" collapsed="false">
      <c r="A22" s="2"/>
      <c r="B22" s="7" t="s">
        <v>261</v>
      </c>
      <c r="C22" s="19" t="n">
        <v>30</v>
      </c>
      <c r="D22" s="29" t="n">
        <f aca="false">C22/Assumptions!$C$6</f>
        <v>9.09090909090909</v>
      </c>
      <c r="E22" s="2"/>
      <c r="F22" s="2"/>
      <c r="G22" s="2"/>
      <c r="H22" s="2"/>
      <c r="I22" s="2"/>
      <c r="J22" s="2"/>
    </row>
    <row r="23" customFormat="false" ht="15" hidden="false" customHeight="true" outlineLevel="0" collapsed="false">
      <c r="A23" s="2"/>
      <c r="B23" s="7" t="s">
        <v>262</v>
      </c>
      <c r="C23" s="19" t="n">
        <v>15</v>
      </c>
      <c r="D23" s="29" t="n">
        <f aca="false">C23/Assumptions!$C$6</f>
        <v>4.54545454545455</v>
      </c>
      <c r="E23" s="2"/>
      <c r="F23" s="2"/>
      <c r="G23" s="2"/>
      <c r="H23" s="2"/>
      <c r="I23" s="2"/>
      <c r="J23" s="2"/>
    </row>
    <row r="24" customFormat="false" ht="15" hidden="false" customHeight="true" outlineLevel="0" collapsed="false">
      <c r="A24" s="2"/>
      <c r="B24" s="7" t="s">
        <v>263</v>
      </c>
      <c r="C24" s="19" t="n">
        <v>15</v>
      </c>
      <c r="D24" s="29" t="n">
        <f aca="false">C24/Assumptions!$C$6</f>
        <v>4.54545454545455</v>
      </c>
      <c r="E24" s="2"/>
      <c r="F24" s="2"/>
      <c r="G24" s="2"/>
      <c r="H24" s="2"/>
      <c r="I24" s="2"/>
      <c r="J24" s="2"/>
    </row>
    <row r="25" customFormat="false" ht="15" hidden="false" customHeight="true" outlineLevel="0" collapsed="false">
      <c r="A25" s="2"/>
      <c r="B25" s="7" t="s">
        <v>264</v>
      </c>
      <c r="C25" s="19" t="n">
        <v>50</v>
      </c>
      <c r="D25" s="29" t="n">
        <f aca="false">C25/Assumptions!$C$6</f>
        <v>15.1515151515152</v>
      </c>
      <c r="E25" s="2"/>
      <c r="F25" s="2"/>
      <c r="G25" s="2"/>
      <c r="H25" s="2"/>
      <c r="I25" s="2"/>
      <c r="J25" s="2"/>
    </row>
    <row r="26" customFormat="false" ht="15" hidden="false" customHeight="true" outlineLevel="0" collapsed="false">
      <c r="A26" s="2"/>
      <c r="B26" s="7" t="s">
        <v>265</v>
      </c>
      <c r="C26" s="19" t="n">
        <v>30</v>
      </c>
      <c r="D26" s="29" t="n">
        <f aca="false">C26/Assumptions!$C$6</f>
        <v>9.09090909090909</v>
      </c>
      <c r="E26" s="2"/>
      <c r="F26" s="2"/>
      <c r="G26" s="2"/>
      <c r="H26" s="2"/>
      <c r="I26" s="2"/>
      <c r="J26" s="2"/>
    </row>
    <row r="27" customFormat="false" ht="15" hidden="false" customHeight="true" outlineLevel="0" collapsed="false">
      <c r="A27" s="2"/>
      <c r="B27" s="7" t="s">
        <v>266</v>
      </c>
      <c r="C27" s="19" t="n">
        <v>50</v>
      </c>
      <c r="D27" s="29" t="n">
        <f aca="false">C27/Assumptions!$C$6</f>
        <v>15.1515151515152</v>
      </c>
      <c r="E27" s="2"/>
      <c r="F27" s="2"/>
      <c r="G27" s="2"/>
      <c r="H27" s="2"/>
      <c r="I27" s="2"/>
      <c r="J27" s="2"/>
    </row>
    <row r="28" customFormat="false" ht="15" hidden="false" customHeight="true" outlineLevel="0" collapsed="false">
      <c r="A28" s="2"/>
      <c r="B28" s="15" t="s">
        <v>267</v>
      </c>
      <c r="C28" s="25" t="n">
        <f aca="false">SUM(C14:C27)</f>
        <v>480</v>
      </c>
      <c r="D28" s="30" t="n">
        <f aca="false">SUM(D14:D27)</f>
        <v>145.454545454545</v>
      </c>
      <c r="E28" s="2"/>
      <c r="F28" s="2"/>
      <c r="G28" s="2"/>
      <c r="H28" s="2"/>
      <c r="I28" s="2"/>
      <c r="J28" s="2"/>
    </row>
    <row r="29" customFormat="false" ht="15" hidden="false" customHeight="true" outlineLevel="0" collapsed="false">
      <c r="A29" s="2"/>
      <c r="B29" s="4" t="s">
        <v>268</v>
      </c>
      <c r="C29" s="2"/>
      <c r="D29" s="2"/>
      <c r="E29" s="2"/>
      <c r="F29" s="2"/>
      <c r="G29" s="2"/>
      <c r="H29" s="2"/>
      <c r="I29" s="2"/>
      <c r="J29" s="2"/>
    </row>
    <row r="30" customFormat="false" ht="15" hidden="false" customHeight="true" outlineLevel="0" collapsed="false">
      <c r="A30" s="2"/>
      <c r="B30" s="7" t="s">
        <v>269</v>
      </c>
      <c r="C30" s="19" t="n">
        <v>15</v>
      </c>
      <c r="D30" s="29" t="n">
        <f aca="false">C30/Assumptions!$C$6</f>
        <v>4.54545454545455</v>
      </c>
      <c r="E30" s="2"/>
      <c r="F30" s="2"/>
      <c r="G30" s="2"/>
      <c r="H30" s="2"/>
      <c r="I30" s="2"/>
      <c r="J30" s="2"/>
    </row>
    <row r="31" customFormat="false" ht="15" hidden="false" customHeight="true" outlineLevel="0" collapsed="false">
      <c r="A31" s="2"/>
      <c r="B31" s="7" t="s">
        <v>270</v>
      </c>
      <c r="C31" s="19" t="n">
        <v>30</v>
      </c>
      <c r="D31" s="29" t="n">
        <f aca="false">C31/Assumptions!$C$6</f>
        <v>9.09090909090909</v>
      </c>
      <c r="E31" s="2"/>
      <c r="F31" s="2"/>
      <c r="G31" s="2"/>
      <c r="H31" s="2"/>
      <c r="I31" s="2"/>
      <c r="J31" s="2"/>
    </row>
    <row r="32" customFormat="false" ht="15" hidden="false" customHeight="true" outlineLevel="0" collapsed="false">
      <c r="A32" s="2"/>
      <c r="B32" s="7" t="s">
        <v>271</v>
      </c>
      <c r="C32" s="19" t="n">
        <v>15</v>
      </c>
      <c r="D32" s="29" t="n">
        <f aca="false">C32/Assumptions!$C$6</f>
        <v>4.54545454545455</v>
      </c>
      <c r="E32" s="2"/>
      <c r="F32" s="2"/>
      <c r="G32" s="2"/>
      <c r="H32" s="2"/>
      <c r="I32" s="2"/>
      <c r="J32" s="2"/>
    </row>
    <row r="33" customFormat="false" ht="15" hidden="false" customHeight="true" outlineLevel="0" collapsed="false">
      <c r="A33" s="2"/>
      <c r="B33" s="7" t="s">
        <v>272</v>
      </c>
      <c r="C33" s="19" t="n">
        <v>15</v>
      </c>
      <c r="D33" s="29" t="n">
        <f aca="false">C33/Assumptions!$C$6</f>
        <v>4.54545454545455</v>
      </c>
      <c r="E33" s="2"/>
      <c r="F33" s="2"/>
      <c r="G33" s="2"/>
      <c r="H33" s="2"/>
      <c r="I33" s="2"/>
      <c r="J33" s="2"/>
    </row>
    <row r="34" customFormat="false" ht="15" hidden="false" customHeight="true" outlineLevel="0" collapsed="false">
      <c r="A34" s="2"/>
      <c r="B34" s="7" t="s">
        <v>273</v>
      </c>
      <c r="C34" s="19" t="n">
        <v>15</v>
      </c>
      <c r="D34" s="29" t="n">
        <f aca="false">C34/Assumptions!$C$6</f>
        <v>4.54545454545455</v>
      </c>
      <c r="E34" s="2"/>
      <c r="F34" s="2"/>
      <c r="G34" s="2"/>
      <c r="H34" s="2"/>
      <c r="I34" s="2"/>
      <c r="J34" s="2"/>
    </row>
    <row r="35" customFormat="false" ht="15" hidden="false" customHeight="true" outlineLevel="0" collapsed="false">
      <c r="A35" s="2"/>
      <c r="B35" s="7" t="s">
        <v>274</v>
      </c>
      <c r="C35" s="19" t="n">
        <v>50</v>
      </c>
      <c r="D35" s="29" t="n">
        <f aca="false">C35/Assumptions!$C$6</f>
        <v>15.1515151515152</v>
      </c>
      <c r="E35" s="2"/>
      <c r="F35" s="2"/>
      <c r="G35" s="2"/>
      <c r="H35" s="2"/>
      <c r="I35" s="2"/>
      <c r="J35" s="2"/>
    </row>
    <row r="36" customFormat="false" ht="15" hidden="false" customHeight="true" outlineLevel="0" collapsed="false">
      <c r="A36" s="2"/>
      <c r="B36" s="15" t="s">
        <v>275</v>
      </c>
      <c r="C36" s="25" t="n">
        <f aca="false">SUM(C30:C35)</f>
        <v>140</v>
      </c>
      <c r="D36" s="30" t="n">
        <f aca="false">SUM(D30:D35)</f>
        <v>42.4242424242424</v>
      </c>
      <c r="E36" s="2"/>
      <c r="F36" s="2"/>
      <c r="G36" s="2"/>
      <c r="H36" s="2"/>
      <c r="I36" s="2"/>
      <c r="J36" s="2"/>
    </row>
    <row r="37" customFormat="false" ht="15" hidden="false" customHeight="true" outlineLevel="0" collapsed="false">
      <c r="A37" s="2"/>
      <c r="B37" s="4" t="s">
        <v>276</v>
      </c>
      <c r="C37" s="2"/>
      <c r="D37" s="2"/>
      <c r="E37" s="2"/>
      <c r="F37" s="2"/>
      <c r="G37" s="2"/>
      <c r="H37" s="2"/>
      <c r="I37" s="2"/>
      <c r="J37" s="2"/>
    </row>
    <row r="38" customFormat="false" ht="15" hidden="false" customHeight="true" outlineLevel="0" collapsed="false">
      <c r="A38" s="2"/>
      <c r="B38" s="7" t="s">
        <v>277</v>
      </c>
      <c r="C38" s="19" t="n">
        <v>120</v>
      </c>
      <c r="D38" s="29" t="n">
        <f aca="false">C38/Assumptions!$C$6</f>
        <v>36.3636363636364</v>
      </c>
      <c r="E38" s="2"/>
      <c r="F38" s="2"/>
      <c r="G38" s="2"/>
      <c r="H38" s="2"/>
      <c r="I38" s="2"/>
      <c r="J38" s="2"/>
    </row>
    <row r="39" customFormat="false" ht="15" hidden="false" customHeight="true" outlineLevel="0" collapsed="false">
      <c r="A39" s="2"/>
      <c r="B39" s="7" t="s">
        <v>278</v>
      </c>
      <c r="C39" s="19" t="n">
        <v>25</v>
      </c>
      <c r="D39" s="29" t="n">
        <f aca="false">C39/Assumptions!$C$6</f>
        <v>7.57575757575758</v>
      </c>
      <c r="E39" s="2"/>
      <c r="F39" s="2"/>
      <c r="G39" s="2"/>
      <c r="H39" s="2"/>
      <c r="I39" s="2"/>
      <c r="J39" s="2"/>
    </row>
    <row r="40" customFormat="false" ht="15" hidden="false" customHeight="true" outlineLevel="0" collapsed="false">
      <c r="A40" s="2"/>
      <c r="B40" s="15" t="s">
        <v>279</v>
      </c>
      <c r="C40" s="25" t="n">
        <f aca="false">SUM(C38:C39)</f>
        <v>145</v>
      </c>
      <c r="D40" s="30" t="n">
        <f aca="false">SUM(D38:D39)</f>
        <v>43.9393939393939</v>
      </c>
      <c r="E40" s="2"/>
      <c r="F40" s="2"/>
      <c r="G40" s="2"/>
      <c r="H40" s="2"/>
      <c r="I40" s="2"/>
      <c r="J40" s="2"/>
    </row>
    <row r="41" customFormat="false" ht="15" hidden="false" customHeight="true" outlineLevel="0" collapsed="false">
      <c r="A41" s="2"/>
      <c r="B41" s="15" t="s">
        <v>280</v>
      </c>
      <c r="C41" s="25" t="n">
        <f aca="false">C12+C28+C36+C40</f>
        <v>1125</v>
      </c>
      <c r="D41" s="30" t="n">
        <f aca="false">D12+D28+D36+D40</f>
        <v>340.909090909091</v>
      </c>
      <c r="E41" s="2"/>
      <c r="F41" s="2"/>
      <c r="G41" s="2"/>
      <c r="H41" s="2"/>
      <c r="I41" s="2"/>
      <c r="J41" s="2"/>
    </row>
    <row r="42" customFormat="false" ht="15" hidden="false" customHeight="true" outlineLevel="0" collapsed="false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customFormat="false" ht="15" hidden="false" customHeight="true" outlineLevel="0" collapsed="false">
      <c r="A43" s="2"/>
      <c r="B43" s="5" t="s">
        <v>281</v>
      </c>
      <c r="C43" s="6"/>
      <c r="D43" s="6"/>
      <c r="E43" s="2"/>
      <c r="F43" s="2"/>
      <c r="G43" s="2"/>
      <c r="H43" s="2"/>
      <c r="I43" s="2"/>
      <c r="J43" s="2"/>
    </row>
    <row r="44" customFormat="false" ht="15" hidden="false" customHeight="true" outlineLevel="0" collapsed="false">
      <c r="A44" s="2"/>
      <c r="B44" s="7" t="s">
        <v>282</v>
      </c>
      <c r="C44" s="19" t="n">
        <v>80</v>
      </c>
      <c r="D44" s="29" t="n">
        <f aca="false">C44/Assumptions!$C$6</f>
        <v>24.2424242424242</v>
      </c>
      <c r="E44" s="4" t="s">
        <v>283</v>
      </c>
      <c r="F44" s="2"/>
      <c r="G44" s="2"/>
      <c r="H44" s="2"/>
      <c r="I44" s="2"/>
      <c r="J44" s="2"/>
    </row>
    <row r="45" customFormat="false" ht="15" hidden="false" customHeight="true" outlineLevel="0" collapsed="false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customFormat="false" ht="15" hidden="false" customHeight="true" outlineLevel="0" collapsed="false">
      <c r="A46" s="2"/>
      <c r="B46" s="5" t="s">
        <v>284</v>
      </c>
      <c r="C46" s="6"/>
      <c r="D46" s="6"/>
      <c r="E46" s="6"/>
      <c r="F46" s="6"/>
      <c r="G46" s="6"/>
      <c r="H46" s="6"/>
      <c r="I46" s="2"/>
      <c r="J46" s="2"/>
    </row>
    <row r="47" customFormat="false" ht="15" hidden="false" customHeight="true" outlineLevel="0" collapsed="false">
      <c r="A47" s="2"/>
      <c r="B47" s="4" t="s">
        <v>285</v>
      </c>
      <c r="C47" s="4"/>
      <c r="D47" s="4"/>
      <c r="E47" s="4" t="s">
        <v>286</v>
      </c>
      <c r="F47" s="4" t="s">
        <v>287</v>
      </c>
      <c r="G47" s="4" t="s">
        <v>288</v>
      </c>
      <c r="H47" s="4" t="s">
        <v>289</v>
      </c>
      <c r="I47" s="4" t="s">
        <v>290</v>
      </c>
      <c r="J47" s="2"/>
    </row>
    <row r="48" customFormat="false" ht="15" hidden="false" customHeight="true" outlineLevel="0" collapsed="false">
      <c r="A48" s="2"/>
      <c r="B48" s="7" t="s">
        <v>291</v>
      </c>
      <c r="C48" s="2"/>
      <c r="D48" s="2"/>
      <c r="E48" s="19" t="n">
        <v>1000</v>
      </c>
      <c r="F48" s="19" t="n">
        <v>2000</v>
      </c>
      <c r="G48" s="19" t="n">
        <v>2500</v>
      </c>
      <c r="H48" s="19" t="n">
        <v>4000</v>
      </c>
      <c r="I48" s="19" t="n">
        <v>5500</v>
      </c>
      <c r="J48" s="2"/>
    </row>
    <row r="49" customFormat="false" ht="15" hidden="false" customHeight="true" outlineLevel="0" collapsed="false">
      <c r="A49" s="2"/>
      <c r="B49" s="7" t="s">
        <v>182</v>
      </c>
      <c r="C49" s="2"/>
      <c r="D49" s="2"/>
      <c r="E49" s="19" t="n">
        <v>800</v>
      </c>
      <c r="F49" s="19" t="n">
        <v>1000</v>
      </c>
      <c r="G49" s="19" t="n">
        <v>1300</v>
      </c>
      <c r="H49" s="19" t="n">
        <v>2000</v>
      </c>
      <c r="I49" s="19" t="n">
        <v>3200</v>
      </c>
      <c r="J49" s="2"/>
    </row>
    <row r="50" customFormat="false" ht="15" hidden="false" customHeight="true" outlineLevel="0" collapsed="false">
      <c r="A50" s="2"/>
      <c r="B50" s="7" t="s">
        <v>292</v>
      </c>
      <c r="C50" s="2"/>
      <c r="D50" s="2"/>
      <c r="E50" s="19" t="n">
        <v>800</v>
      </c>
      <c r="F50" s="19" t="n">
        <v>1000</v>
      </c>
      <c r="G50" s="19" t="n">
        <v>1200</v>
      </c>
      <c r="H50" s="19" t="n">
        <v>2000</v>
      </c>
      <c r="I50" s="19" t="n">
        <v>3200</v>
      </c>
      <c r="J50" s="2"/>
    </row>
    <row r="51" customFormat="false" ht="15" hidden="false" customHeight="true" outlineLevel="0" collapsed="false">
      <c r="A51" s="2"/>
      <c r="B51" s="7" t="s">
        <v>196</v>
      </c>
      <c r="C51" s="2"/>
      <c r="D51" s="2"/>
      <c r="E51" s="19" t="n">
        <v>600</v>
      </c>
      <c r="F51" s="19" t="n">
        <v>800</v>
      </c>
      <c r="G51" s="19" t="n">
        <v>1000</v>
      </c>
      <c r="H51" s="19" t="n">
        <v>2000</v>
      </c>
      <c r="I51" s="19" t="n">
        <v>3000</v>
      </c>
      <c r="J51" s="2"/>
    </row>
    <row r="52" customFormat="false" ht="15" hidden="false" customHeight="true" outlineLevel="0" collapsed="false">
      <c r="A52" s="2"/>
      <c r="B52" s="7" t="s">
        <v>293</v>
      </c>
      <c r="C52" s="2"/>
      <c r="D52" s="2"/>
      <c r="E52" s="19" t="n">
        <v>400</v>
      </c>
      <c r="F52" s="19" t="n">
        <v>600</v>
      </c>
      <c r="G52" s="19" t="n">
        <v>800</v>
      </c>
      <c r="H52" s="19" t="n">
        <v>1500</v>
      </c>
      <c r="I52" s="19" t="n">
        <v>2000</v>
      </c>
      <c r="J52" s="2"/>
    </row>
    <row r="53" customFormat="false" ht="15" hidden="false" customHeight="true" outlineLevel="0" collapsed="false">
      <c r="A53" s="2"/>
      <c r="B53" s="7" t="s">
        <v>294</v>
      </c>
      <c r="C53" s="2"/>
      <c r="D53" s="2"/>
      <c r="E53" s="19" t="n">
        <v>400</v>
      </c>
      <c r="F53" s="19" t="n">
        <v>600</v>
      </c>
      <c r="G53" s="19" t="n">
        <v>800</v>
      </c>
      <c r="H53" s="19" t="n">
        <v>1500</v>
      </c>
      <c r="I53" s="19" t="n">
        <v>3000</v>
      </c>
      <c r="J53" s="2"/>
    </row>
    <row r="54" customFormat="false" ht="15" hidden="false" customHeight="true" outlineLevel="0" collapsed="false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customFormat="false" ht="15" hidden="false" customHeight="true" outlineLevel="0" collapsed="false">
      <c r="A55" s="2"/>
      <c r="B55" s="2"/>
      <c r="C55" s="2"/>
      <c r="D55" s="2"/>
      <c r="E55" s="2"/>
      <c r="F55" s="2"/>
      <c r="G55" s="2"/>
      <c r="H55" s="2"/>
      <c r="I55" s="2"/>
      <c r="J55" s="2"/>
    </row>
  </sheetData>
  <mergeCells count="1">
    <mergeCell ref="B1:F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3C2E"/>
    <pageSetUpPr fitToPage="false"/>
  </sheetPr>
  <dimension ref="A1:H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6796875" defaultRowHeight="15" customHeight="fals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4"/>
    <col collapsed="false" customWidth="true" hidden="false" outlineLevel="0" max="5" min="3" style="1" width="11"/>
    <col collapsed="false" customWidth="true" hidden="false" outlineLevel="0" max="6" min="6" style="1" width="10"/>
    <col collapsed="false" customWidth="true" hidden="false" outlineLevel="0" max="7" min="7" style="1" width="30"/>
    <col collapsed="false" customWidth="true" hidden="false" outlineLevel="0" max="10" min="8" style="1" width="13"/>
    <col collapsed="false" customWidth="true" hidden="false" outlineLevel="0" max="11" min="11" style="1" width="30"/>
  </cols>
  <sheetData>
    <row r="1" customFormat="false" ht="31.5" hidden="false" customHeight="true" outlineLevel="0" collapsed="false">
      <c r="A1" s="2"/>
      <c r="B1" s="3" t="s">
        <v>295</v>
      </c>
      <c r="C1" s="3"/>
      <c r="D1" s="3"/>
      <c r="E1" s="3"/>
      <c r="F1" s="3"/>
      <c r="G1" s="3"/>
      <c r="H1" s="2"/>
    </row>
    <row r="2" customFormat="false" ht="15" hidden="false" customHeight="true" outlineLevel="0" collapsed="false">
      <c r="A2" s="2"/>
      <c r="B2" s="2"/>
      <c r="C2" s="2"/>
      <c r="D2" s="2"/>
      <c r="E2" s="2"/>
      <c r="F2" s="2"/>
      <c r="G2" s="2"/>
      <c r="H2" s="2"/>
    </row>
    <row r="3" customFormat="false" ht="15" hidden="false" customHeight="true" outlineLevel="0" collapsed="false">
      <c r="A3" s="2"/>
      <c r="B3" s="4" t="s">
        <v>296</v>
      </c>
      <c r="C3" s="2"/>
      <c r="D3" s="2"/>
      <c r="E3" s="2"/>
      <c r="F3" s="2"/>
      <c r="G3" s="2"/>
      <c r="H3" s="2"/>
    </row>
    <row r="4" customFormat="false" ht="15" hidden="false" customHeight="true" outlineLevel="0" collapsed="false">
      <c r="A4" s="2"/>
      <c r="B4" s="4" t="s">
        <v>297</v>
      </c>
      <c r="C4" s="4" t="s">
        <v>298</v>
      </c>
      <c r="D4" s="4" t="s">
        <v>299</v>
      </c>
      <c r="E4" s="4" t="s">
        <v>300</v>
      </c>
      <c r="F4" s="4" t="s">
        <v>301</v>
      </c>
      <c r="G4" s="4" t="s">
        <v>302</v>
      </c>
      <c r="H4" s="2"/>
    </row>
    <row r="5" customFormat="false" ht="15" hidden="false" customHeight="true" outlineLevel="0" collapsed="false">
      <c r="A5" s="2"/>
      <c r="B5" s="5" t="s">
        <v>303</v>
      </c>
      <c r="C5" s="6"/>
      <c r="D5" s="6"/>
      <c r="E5" s="6"/>
      <c r="F5" s="6"/>
      <c r="G5" s="6"/>
      <c r="H5" s="2"/>
    </row>
    <row r="6" customFormat="false" ht="15" hidden="false" customHeight="true" outlineLevel="0" collapsed="false">
      <c r="A6" s="2"/>
      <c r="B6" s="7" t="s">
        <v>304</v>
      </c>
      <c r="C6" s="19" t="n">
        <v>250</v>
      </c>
      <c r="D6" s="19" t="n">
        <v>450</v>
      </c>
      <c r="E6" s="17" t="n">
        <f aca="false">D6/Assumptions!$C$6</f>
        <v>136.363636363636</v>
      </c>
      <c r="F6" s="31" t="n">
        <f aca="false">IF(D6=0,0,(D6-C6)/D6)</f>
        <v>0.444444444444444</v>
      </c>
      <c r="G6" s="4" t="s">
        <v>305</v>
      </c>
      <c r="H6" s="2"/>
    </row>
    <row r="7" customFormat="false" ht="15" hidden="false" customHeight="true" outlineLevel="0" collapsed="false">
      <c r="A7" s="2"/>
      <c r="B7" s="5" t="s">
        <v>306</v>
      </c>
      <c r="C7" s="6"/>
      <c r="D7" s="6"/>
      <c r="E7" s="6"/>
      <c r="F7" s="6"/>
      <c r="G7" s="6"/>
      <c r="H7" s="2"/>
    </row>
    <row r="8" customFormat="false" ht="15" hidden="false" customHeight="true" outlineLevel="0" collapsed="false">
      <c r="A8" s="2"/>
      <c r="B8" s="4" t="s">
        <v>307</v>
      </c>
      <c r="C8" s="2"/>
      <c r="D8" s="4" t="s">
        <v>308</v>
      </c>
      <c r="E8" s="4" t="s">
        <v>309</v>
      </c>
      <c r="F8" s="2"/>
      <c r="G8" s="2"/>
      <c r="H8" s="2"/>
    </row>
    <row r="9" customFormat="false" ht="15" hidden="false" customHeight="true" outlineLevel="0" collapsed="false">
      <c r="A9" s="2"/>
      <c r="B9" s="7" t="s">
        <v>310</v>
      </c>
      <c r="C9" s="2"/>
      <c r="D9" s="19" t="n">
        <v>150</v>
      </c>
      <c r="E9" s="17" t="n">
        <f aca="false">D9*0.2/Assumptions!$C$6</f>
        <v>9.09090909090909</v>
      </c>
      <c r="F9" s="2"/>
      <c r="G9" s="4" t="s">
        <v>311</v>
      </c>
      <c r="H9" s="2"/>
    </row>
    <row r="10" customFormat="false" ht="15" hidden="false" customHeight="true" outlineLevel="0" collapsed="false">
      <c r="A10" s="2"/>
      <c r="B10" s="7" t="s">
        <v>312</v>
      </c>
      <c r="C10" s="2"/>
      <c r="D10" s="19" t="n">
        <v>200</v>
      </c>
      <c r="E10" s="17" t="n">
        <f aca="false">D10*0.2/Assumptions!$C$6</f>
        <v>12.1212121212121</v>
      </c>
      <c r="F10" s="2"/>
      <c r="G10" s="4" t="s">
        <v>311</v>
      </c>
      <c r="H10" s="2"/>
    </row>
    <row r="11" customFormat="false" ht="15" hidden="false" customHeight="true" outlineLevel="0" collapsed="false">
      <c r="A11" s="2"/>
      <c r="B11" s="7" t="s">
        <v>313</v>
      </c>
      <c r="C11" s="2"/>
      <c r="D11" s="19" t="n">
        <v>250</v>
      </c>
      <c r="E11" s="17" t="n">
        <f aca="false">D11*0.2/Assumptions!$C$6</f>
        <v>15.1515151515152</v>
      </c>
      <c r="F11" s="2"/>
      <c r="G11" s="4" t="s">
        <v>311</v>
      </c>
      <c r="H11" s="2"/>
    </row>
    <row r="12" customFormat="false" ht="15" hidden="false" customHeight="true" outlineLevel="0" collapsed="false">
      <c r="A12" s="2"/>
      <c r="B12" s="7" t="s">
        <v>314</v>
      </c>
      <c r="C12" s="2"/>
      <c r="D12" s="19" t="n">
        <v>1500</v>
      </c>
      <c r="E12" s="17" t="n">
        <f aca="false">D12*0.2/Assumptions!$C$6</f>
        <v>90.9090909090909</v>
      </c>
      <c r="F12" s="2"/>
      <c r="G12" s="4" t="s">
        <v>311</v>
      </c>
      <c r="H12" s="2"/>
    </row>
    <row r="13" customFormat="false" ht="15" hidden="false" customHeight="true" outlineLevel="0" collapsed="false">
      <c r="A13" s="2"/>
      <c r="B13" s="7" t="s">
        <v>315</v>
      </c>
      <c r="C13" s="2"/>
      <c r="D13" s="19" t="n">
        <v>2500</v>
      </c>
      <c r="E13" s="17" t="n">
        <f aca="false">D13*0.2/Assumptions!$C$6</f>
        <v>151.515151515152</v>
      </c>
      <c r="F13" s="2"/>
      <c r="G13" s="4" t="s">
        <v>311</v>
      </c>
      <c r="H13" s="2"/>
    </row>
    <row r="14" customFormat="false" ht="15" hidden="false" customHeight="true" outlineLevel="0" collapsed="false">
      <c r="A14" s="2"/>
      <c r="B14" s="5" t="s">
        <v>316</v>
      </c>
      <c r="C14" s="6"/>
      <c r="D14" s="6"/>
      <c r="E14" s="6"/>
      <c r="F14" s="6"/>
      <c r="G14" s="6"/>
      <c r="H14" s="2"/>
    </row>
    <row r="15" customFormat="false" ht="15" hidden="false" customHeight="true" outlineLevel="0" collapsed="false">
      <c r="A15" s="2"/>
      <c r="B15" s="7" t="s">
        <v>317</v>
      </c>
      <c r="C15" s="19" t="n">
        <v>100</v>
      </c>
      <c r="D15" s="19" t="n">
        <v>200</v>
      </c>
      <c r="E15" s="17" t="n">
        <f aca="false">D15/Assumptions!$C$6</f>
        <v>60.6060606060606</v>
      </c>
      <c r="F15" s="31" t="n">
        <f aca="false">IF(D15=0,0,(D15-C15)/D15)</f>
        <v>0.5</v>
      </c>
      <c r="G15" s="4" t="s">
        <v>318</v>
      </c>
      <c r="H15" s="2"/>
    </row>
    <row r="16" customFormat="false" ht="15" hidden="false" customHeight="true" outlineLevel="0" collapsed="false">
      <c r="A16" s="2"/>
      <c r="B16" s="7" t="s">
        <v>319</v>
      </c>
      <c r="C16" s="19" t="n">
        <v>50</v>
      </c>
      <c r="D16" s="19" t="n">
        <v>100</v>
      </c>
      <c r="E16" s="17" t="n">
        <f aca="false">D16/Assumptions!$C$6</f>
        <v>30.3030303030303</v>
      </c>
      <c r="F16" s="31" t="n">
        <f aca="false">IF(D16=0,0,(D16-C16)/D16)</f>
        <v>0.5</v>
      </c>
      <c r="G16" s="4" t="s">
        <v>318</v>
      </c>
      <c r="H16" s="2"/>
    </row>
    <row r="17" customFormat="false" ht="15" hidden="false" customHeight="true" outlineLevel="0" collapsed="false">
      <c r="A17" s="2"/>
      <c r="B17" s="7" t="s">
        <v>320</v>
      </c>
      <c r="C17" s="19" t="n">
        <v>400</v>
      </c>
      <c r="D17" s="19" t="n">
        <v>1000</v>
      </c>
      <c r="E17" s="17" t="n">
        <f aca="false">D17/Assumptions!$C$6</f>
        <v>303.030303030303</v>
      </c>
      <c r="F17" s="31" t="n">
        <f aca="false">IF(D17=0,0,(D17-C17)/D17)</f>
        <v>0.6</v>
      </c>
      <c r="G17" s="4" t="s">
        <v>321</v>
      </c>
      <c r="H17" s="2"/>
    </row>
    <row r="18" customFormat="false" ht="15" hidden="false" customHeight="true" outlineLevel="0" collapsed="false">
      <c r="A18" s="2"/>
      <c r="B18" s="2"/>
      <c r="C18" s="2"/>
      <c r="D18" s="2"/>
      <c r="E18" s="2"/>
      <c r="F18" s="2"/>
      <c r="G18" s="2"/>
      <c r="H18" s="2"/>
    </row>
    <row r="19" customFormat="false" ht="15" hidden="false" customHeight="true" outlineLevel="0" collapsed="false">
      <c r="A19" s="2"/>
      <c r="B19" s="2"/>
      <c r="C19" s="2"/>
      <c r="D19" s="2"/>
      <c r="E19" s="2"/>
      <c r="F19" s="2"/>
      <c r="G19" s="2"/>
      <c r="H19" s="2"/>
    </row>
  </sheetData>
  <mergeCells count="1">
    <mergeCell ref="B1:G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3C2E"/>
    <pageSetUpPr fitToPage="false"/>
  </sheetPr>
  <dimension ref="A1:L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6796875" defaultRowHeight="15" customHeight="fals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46"/>
    <col collapsed="false" customWidth="true" hidden="false" outlineLevel="0" max="10" min="3" style="1" width="13"/>
    <col collapsed="false" customWidth="true" hidden="false" outlineLevel="0" max="11" min="11" style="1" width="30"/>
  </cols>
  <sheetData>
    <row r="1" customFormat="false" ht="31.5" hidden="false" customHeight="true" outlineLevel="0" collapsed="false">
      <c r="A1" s="2"/>
      <c r="B1" s="3" t="s">
        <v>322</v>
      </c>
      <c r="C1" s="3"/>
      <c r="D1" s="3"/>
      <c r="E1" s="3"/>
      <c r="F1" s="3"/>
      <c r="G1" s="3"/>
      <c r="H1" s="3"/>
      <c r="I1" s="3"/>
      <c r="J1" s="3"/>
      <c r="K1" s="2"/>
      <c r="L1" s="2"/>
    </row>
    <row r="2" customFormat="false" ht="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true" outlineLevel="0" collapsed="false">
      <c r="A3" s="2"/>
      <c r="B3" s="20"/>
      <c r="C3" s="21" t="n">
        <v>2026</v>
      </c>
      <c r="D3" s="21" t="n">
        <v>2027</v>
      </c>
      <c r="E3" s="21" t="n">
        <v>2028</v>
      </c>
      <c r="F3" s="21" t="n">
        <v>2029</v>
      </c>
      <c r="G3" s="21" t="n">
        <v>2030</v>
      </c>
      <c r="H3" s="21" t="n">
        <v>2031</v>
      </c>
      <c r="I3" s="21" t="n">
        <v>2032</v>
      </c>
      <c r="J3" s="21" t="n">
        <v>2033</v>
      </c>
      <c r="K3" s="2"/>
      <c r="L3" s="2"/>
    </row>
    <row r="4" customFormat="false" ht="15" hidden="false" customHeight="true" outlineLevel="0" collapsed="false">
      <c r="A4" s="2"/>
      <c r="B4" s="7" t="s">
        <v>323</v>
      </c>
      <c r="C4" s="13" t="n">
        <v>270000</v>
      </c>
      <c r="D4" s="13" t="n">
        <v>640000</v>
      </c>
      <c r="E4" s="13" t="n">
        <v>640000</v>
      </c>
      <c r="F4" s="13" t="n">
        <v>640000</v>
      </c>
      <c r="G4" s="13" t="n">
        <v>0</v>
      </c>
      <c r="H4" s="13" t="n">
        <v>0</v>
      </c>
      <c r="I4" s="13" t="n">
        <v>0</v>
      </c>
      <c r="J4" s="13" t="n">
        <v>0</v>
      </c>
      <c r="K4" s="4" t="s">
        <v>324</v>
      </c>
      <c r="L4" s="2"/>
    </row>
    <row r="5" customFormat="false" ht="15" hidden="false" customHeight="true" outlineLevel="0" collapsed="false">
      <c r="A5" s="2"/>
      <c r="B5" s="7" t="s">
        <v>325</v>
      </c>
      <c r="C5" s="13" t="n">
        <v>0</v>
      </c>
      <c r="D5" s="13" t="n">
        <v>0</v>
      </c>
      <c r="E5" s="13" t="n">
        <v>0</v>
      </c>
      <c r="F5" s="13" t="n">
        <v>91000</v>
      </c>
      <c r="G5" s="13" t="n">
        <v>0</v>
      </c>
      <c r="H5" s="13" t="n">
        <v>91000</v>
      </c>
      <c r="I5" s="13" t="n">
        <v>0</v>
      </c>
      <c r="J5" s="13" t="n">
        <v>91000</v>
      </c>
      <c r="K5" s="4" t="s">
        <v>326</v>
      </c>
      <c r="L5" s="2"/>
    </row>
    <row r="6" customFormat="false" ht="15" hidden="false" customHeight="true" outlineLevel="0" collapsed="false">
      <c r="A6" s="2"/>
      <c r="B6" s="15" t="s">
        <v>327</v>
      </c>
      <c r="C6" s="24" t="n">
        <f aca="false">C4+C5</f>
        <v>270000</v>
      </c>
      <c r="D6" s="24" t="n">
        <f aca="false">D4+D5</f>
        <v>640000</v>
      </c>
      <c r="E6" s="24" t="n">
        <f aca="false">E4+E5</f>
        <v>640000</v>
      </c>
      <c r="F6" s="24" t="n">
        <f aca="false">F4+F5</f>
        <v>731000</v>
      </c>
      <c r="G6" s="24" t="n">
        <f aca="false">G4+G5</f>
        <v>0</v>
      </c>
      <c r="H6" s="24" t="n">
        <f aca="false">H4+H5</f>
        <v>91000</v>
      </c>
      <c r="I6" s="24" t="n">
        <f aca="false">I4+I5</f>
        <v>0</v>
      </c>
      <c r="J6" s="24" t="n">
        <f aca="false">J4+J5</f>
        <v>91000</v>
      </c>
      <c r="K6" s="2"/>
      <c r="L6" s="2"/>
    </row>
    <row r="7" customFormat="false" ht="15" hidden="false" customHeight="true" outlineLevel="0" collapsed="false">
      <c r="A7" s="2"/>
      <c r="B7" s="7" t="s">
        <v>328</v>
      </c>
      <c r="C7" s="17" t="n">
        <f aca="false">C4</f>
        <v>270000</v>
      </c>
      <c r="D7" s="17" t="n">
        <f aca="false">C7+D4</f>
        <v>910000</v>
      </c>
      <c r="E7" s="17" t="n">
        <f aca="false">D7+E4</f>
        <v>1550000</v>
      </c>
      <c r="F7" s="17" t="n">
        <f aca="false">E7+F4</f>
        <v>2190000</v>
      </c>
      <c r="G7" s="17" t="n">
        <f aca="false">F7+G4</f>
        <v>2190000</v>
      </c>
      <c r="H7" s="17" t="n">
        <f aca="false">G7+H4</f>
        <v>2190000</v>
      </c>
      <c r="I7" s="17" t="n">
        <f aca="false">H7+I4</f>
        <v>2190000</v>
      </c>
      <c r="J7" s="17" t="n">
        <f aca="false">I7+J4</f>
        <v>2190000</v>
      </c>
      <c r="K7" s="2"/>
      <c r="L7" s="2"/>
    </row>
    <row r="8" customFormat="false" ht="15" hidden="false" customHeight="true" outlineLevel="0" collapsed="false">
      <c r="A8" s="2"/>
      <c r="B8" s="7" t="s">
        <v>329</v>
      </c>
      <c r="C8" s="17" t="n">
        <f aca="false">Assumptions!$C$56/Assumptions!$C$52</f>
        <v>174484.533333333</v>
      </c>
      <c r="D8" s="17" t="n">
        <f aca="false">Assumptions!$C$56/Assumptions!$C$52</f>
        <v>174484.533333333</v>
      </c>
      <c r="E8" s="17" t="n">
        <f aca="false">Assumptions!$C$56/Assumptions!$C$52</f>
        <v>174484.533333333</v>
      </c>
      <c r="F8" s="17" t="n">
        <f aca="false">Assumptions!$C$56/Assumptions!$C$52</f>
        <v>174484.533333333</v>
      </c>
      <c r="G8" s="17" t="n">
        <f aca="false">Assumptions!$C$56/Assumptions!$C$52</f>
        <v>174484.533333333</v>
      </c>
      <c r="H8" s="17" t="n">
        <f aca="false">Assumptions!$C$56/Assumptions!$C$52</f>
        <v>174484.533333333</v>
      </c>
      <c r="I8" s="17" t="n">
        <f aca="false">Assumptions!$C$56/Assumptions!$C$52</f>
        <v>174484.533333333</v>
      </c>
      <c r="J8" s="17" t="n">
        <f aca="false">Assumptions!$C$56/Assumptions!$C$52</f>
        <v>174484.533333333</v>
      </c>
      <c r="K8" s="2"/>
      <c r="L8" s="2"/>
    </row>
    <row r="9" customFormat="false" ht="15" hidden="false" customHeight="true" outlineLevel="0" collapsed="false">
      <c r="A9" s="2"/>
      <c r="B9" s="7" t="s">
        <v>330</v>
      </c>
      <c r="C9" s="17" t="n">
        <f aca="false">C7/Assumptions!$C$53</f>
        <v>18000</v>
      </c>
      <c r="D9" s="17" t="n">
        <f aca="false">D7/Assumptions!$C$53</f>
        <v>60666.6666666667</v>
      </c>
      <c r="E9" s="17" t="n">
        <f aca="false">E7/Assumptions!$C$53</f>
        <v>103333.333333333</v>
      </c>
      <c r="F9" s="17" t="n">
        <f aca="false">F7/Assumptions!$C$53</f>
        <v>146000</v>
      </c>
      <c r="G9" s="17" t="n">
        <f aca="false">G7/Assumptions!$C$53</f>
        <v>146000</v>
      </c>
      <c r="H9" s="17" t="n">
        <f aca="false">H7/Assumptions!$C$53</f>
        <v>146000</v>
      </c>
      <c r="I9" s="17" t="n">
        <f aca="false">I7/Assumptions!$C$53</f>
        <v>146000</v>
      </c>
      <c r="J9" s="17" t="n">
        <f aca="false">J7/Assumptions!$C$53</f>
        <v>146000</v>
      </c>
      <c r="K9" s="2"/>
      <c r="L9" s="2"/>
    </row>
    <row r="10" customFormat="false" ht="15" hidden="false" customHeight="true" outlineLevel="0" collapsed="false">
      <c r="A10" s="2"/>
      <c r="B10" s="15" t="s">
        <v>331</v>
      </c>
      <c r="C10" s="24" t="n">
        <f aca="false">C8+C9</f>
        <v>192484.533333333</v>
      </c>
      <c r="D10" s="24" t="n">
        <f aca="false">D8+D9</f>
        <v>235151.2</v>
      </c>
      <c r="E10" s="24" t="n">
        <f aca="false">E8+E9</f>
        <v>277817.866666667</v>
      </c>
      <c r="F10" s="24" t="n">
        <f aca="false">F8+F9</f>
        <v>320484.533333333</v>
      </c>
      <c r="G10" s="24" t="n">
        <f aca="false">G8+G9</f>
        <v>320484.533333333</v>
      </c>
      <c r="H10" s="24" t="n">
        <f aca="false">H8+H9</f>
        <v>320484.533333333</v>
      </c>
      <c r="I10" s="24" t="n">
        <f aca="false">I8+I9</f>
        <v>320484.533333333</v>
      </c>
      <c r="J10" s="24" t="n">
        <f aca="false">J8+J9</f>
        <v>320484.533333333</v>
      </c>
      <c r="K10" s="2"/>
      <c r="L10" s="2"/>
    </row>
    <row r="11" customFormat="false" ht="15" hidden="false" customHeight="tru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customFormat="false" ht="15" hidden="false" customHeight="true" outlineLevel="0" collapsed="false">
      <c r="A12" s="2"/>
      <c r="B12" s="5" t="s">
        <v>332</v>
      </c>
      <c r="C12" s="6"/>
      <c r="D12" s="6"/>
      <c r="E12" s="6"/>
      <c r="F12" s="6"/>
      <c r="G12" s="2"/>
      <c r="H12" s="2"/>
      <c r="I12" s="2"/>
      <c r="J12" s="2"/>
      <c r="K12" s="2"/>
      <c r="L12" s="2"/>
    </row>
    <row r="13" customFormat="false" ht="15" hidden="false" customHeight="true" outlineLevel="0" collapsed="false">
      <c r="A13" s="2"/>
      <c r="B13" s="7" t="s">
        <v>333</v>
      </c>
      <c r="C13" s="13" t="n">
        <v>40000</v>
      </c>
      <c r="D13" s="2"/>
      <c r="E13" s="2"/>
      <c r="F13" s="2"/>
      <c r="G13" s="2"/>
      <c r="H13" s="2"/>
      <c r="I13" s="2"/>
      <c r="J13" s="2"/>
      <c r="K13" s="2"/>
      <c r="L13" s="2"/>
    </row>
    <row r="14" customFormat="false" ht="15" hidden="false" customHeight="true" outlineLevel="0" collapsed="false">
      <c r="A14" s="2"/>
      <c r="B14" s="7" t="s">
        <v>334</v>
      </c>
      <c r="C14" s="13" t="n">
        <v>15000</v>
      </c>
      <c r="D14" s="2"/>
      <c r="E14" s="2"/>
      <c r="F14" s="2"/>
      <c r="G14" s="2"/>
      <c r="H14" s="2"/>
      <c r="I14" s="2"/>
      <c r="J14" s="2"/>
      <c r="K14" s="2"/>
      <c r="L14" s="2"/>
    </row>
    <row r="15" customFormat="false" ht="15" hidden="false" customHeight="true" outlineLevel="0" collapsed="false">
      <c r="A15" s="2"/>
      <c r="B15" s="7" t="s">
        <v>335</v>
      </c>
      <c r="C15" s="13" t="n">
        <v>10000</v>
      </c>
      <c r="D15" s="2"/>
      <c r="E15" s="2"/>
      <c r="F15" s="2"/>
      <c r="G15" s="2"/>
      <c r="H15" s="2"/>
      <c r="I15" s="2"/>
      <c r="J15" s="2"/>
      <c r="K15" s="2"/>
      <c r="L15" s="2"/>
    </row>
    <row r="16" customFormat="false" ht="15" hidden="false" customHeight="true" outlineLevel="0" collapsed="false">
      <c r="A16" s="2"/>
      <c r="B16" s="7" t="s">
        <v>336</v>
      </c>
      <c r="C16" s="13" t="n">
        <v>6000</v>
      </c>
      <c r="D16" s="2"/>
      <c r="E16" s="2"/>
      <c r="F16" s="2"/>
      <c r="G16" s="2"/>
      <c r="H16" s="2"/>
      <c r="I16" s="2"/>
      <c r="J16" s="2"/>
      <c r="K16" s="2"/>
      <c r="L16" s="2"/>
    </row>
    <row r="17" customFormat="false" ht="15" hidden="false" customHeight="true" outlineLevel="0" collapsed="false">
      <c r="A17" s="2"/>
      <c r="B17" s="7" t="s">
        <v>337</v>
      </c>
      <c r="C17" s="13" t="n">
        <v>10000</v>
      </c>
      <c r="D17" s="2"/>
      <c r="E17" s="2"/>
      <c r="F17" s="2"/>
      <c r="G17" s="2"/>
      <c r="H17" s="2"/>
      <c r="I17" s="2"/>
      <c r="J17" s="2"/>
      <c r="K17" s="2"/>
      <c r="L17" s="2"/>
    </row>
    <row r="18" customFormat="false" ht="15" hidden="false" customHeight="true" outlineLevel="0" collapsed="false">
      <c r="A18" s="2"/>
      <c r="B18" s="7" t="s">
        <v>338</v>
      </c>
      <c r="C18" s="13" t="n">
        <v>10000</v>
      </c>
      <c r="D18" s="2"/>
      <c r="E18" s="2"/>
      <c r="F18" s="2"/>
      <c r="G18" s="2"/>
      <c r="H18" s="2"/>
      <c r="I18" s="2"/>
      <c r="J18" s="2"/>
      <c r="K18" s="2"/>
      <c r="L18" s="2"/>
    </row>
    <row r="19" customFormat="false" ht="15" hidden="false" customHeight="true" outlineLevel="0" collapsed="false">
      <c r="A19" s="2"/>
      <c r="B19" s="15" t="s">
        <v>339</v>
      </c>
      <c r="C19" s="24" t="n">
        <f aca="false">SUM(C13:C18)</f>
        <v>91000</v>
      </c>
      <c r="D19" s="2"/>
      <c r="E19" s="2"/>
      <c r="F19" s="2"/>
      <c r="G19" s="2"/>
      <c r="H19" s="2"/>
      <c r="I19" s="2"/>
      <c r="J19" s="2"/>
      <c r="K19" s="2"/>
      <c r="L19" s="2"/>
    </row>
    <row r="20" customFormat="false" ht="15" hidden="false" customHeight="tru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customFormat="false" ht="15" hidden="false" customHeight="true" outlineLevel="0" collapsed="false">
      <c r="A21" s="2"/>
      <c r="B21" s="4" t="s">
        <v>340</v>
      </c>
      <c r="C21" s="2"/>
      <c r="D21" s="2"/>
      <c r="E21" s="2"/>
      <c r="F21" s="2"/>
      <c r="G21" s="2"/>
      <c r="H21" s="2"/>
      <c r="I21" s="2"/>
      <c r="J21" s="2"/>
      <c r="K21" s="2"/>
      <c r="L21" s="2"/>
    </row>
    <row r="22" customFormat="false" ht="15" hidden="false" customHeight="true" outlineLevel="0" collapsed="false">
      <c r="A22" s="2"/>
      <c r="B22" s="4" t="s">
        <v>341</v>
      </c>
      <c r="C22" s="2"/>
      <c r="D22" s="2"/>
      <c r="E22" s="2"/>
      <c r="F22" s="2"/>
      <c r="G22" s="2"/>
      <c r="H22" s="2"/>
      <c r="I22" s="2"/>
      <c r="J22" s="2"/>
      <c r="K22" s="2"/>
      <c r="L22" s="2"/>
    </row>
    <row r="23" customFormat="false" ht="15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customFormat="false" ht="15" hidden="false" customHeight="true" outlineLevel="0" collapsed="false">
      <c r="A24" s="2"/>
      <c r="B24" s="5" t="s">
        <v>342</v>
      </c>
      <c r="C24" s="6"/>
      <c r="D24" s="6"/>
      <c r="E24" s="6"/>
      <c r="F24" s="6"/>
      <c r="G24" s="2"/>
      <c r="H24" s="2"/>
      <c r="I24" s="2"/>
      <c r="J24" s="2"/>
      <c r="K24" s="2"/>
      <c r="L24" s="2"/>
    </row>
    <row r="25" customFormat="false" ht="15" hidden="false" customHeight="true" outlineLevel="0" collapsed="false">
      <c r="A25" s="2"/>
      <c r="B25" s="7" t="s">
        <v>343</v>
      </c>
      <c r="C25" s="13" t="n">
        <v>70000</v>
      </c>
      <c r="D25" s="2"/>
      <c r="E25" s="2"/>
      <c r="F25" s="2"/>
      <c r="G25" s="2"/>
      <c r="H25" s="2"/>
      <c r="I25" s="2"/>
      <c r="J25" s="2"/>
      <c r="K25" s="2"/>
      <c r="L25" s="2"/>
    </row>
    <row r="26" customFormat="false" ht="15" hidden="false" customHeight="true" outlineLevel="0" collapsed="false">
      <c r="A26" s="2"/>
      <c r="B26" s="7" t="s">
        <v>344</v>
      </c>
      <c r="C26" s="13" t="n">
        <v>200000</v>
      </c>
      <c r="D26" s="2"/>
      <c r="E26" s="2"/>
      <c r="F26" s="2"/>
      <c r="G26" s="2"/>
      <c r="H26" s="2"/>
      <c r="I26" s="2"/>
      <c r="J26" s="2"/>
      <c r="K26" s="2"/>
      <c r="L26" s="2"/>
    </row>
    <row r="27" customFormat="false" ht="15" hidden="false" customHeight="true" outlineLevel="0" collapsed="false">
      <c r="A27" s="2"/>
      <c r="B27" s="15" t="s">
        <v>345</v>
      </c>
      <c r="C27" s="24" t="n">
        <f aca="false">SUM(C25:C26)</f>
        <v>270000</v>
      </c>
      <c r="D27" s="2"/>
      <c r="E27" s="2"/>
      <c r="F27" s="2"/>
      <c r="G27" s="2"/>
      <c r="H27" s="2"/>
      <c r="I27" s="2"/>
      <c r="J27" s="2"/>
      <c r="K27" s="2"/>
      <c r="L27" s="2"/>
    </row>
    <row r="28" customFormat="false" ht="15" hidden="false" customHeight="true" outlineLevel="0" collapsed="false">
      <c r="A28" s="2"/>
      <c r="B28" s="4" t="s">
        <v>346</v>
      </c>
      <c r="C28" s="2"/>
      <c r="D28" s="2"/>
      <c r="E28" s="2"/>
      <c r="F28" s="2"/>
      <c r="G28" s="2"/>
      <c r="H28" s="2"/>
      <c r="I28" s="2"/>
      <c r="J28" s="2"/>
      <c r="K28" s="2"/>
      <c r="L28" s="2"/>
    </row>
    <row r="29" customFormat="false" ht="15" hidden="false" customHeight="tru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customFormat="false" ht="15" hidden="false" customHeight="tru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</sheetData>
  <mergeCells count="1">
    <mergeCell ref="B1:J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3C2E"/>
    <pageSetUpPr fitToPage="false"/>
  </sheetPr>
  <dimension ref="A1:K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6796875" defaultRowHeight="15" customHeight="fals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44"/>
    <col collapsed="false" customWidth="true" hidden="false" outlineLevel="0" max="10" min="3" style="1" width="13"/>
    <col collapsed="false" customWidth="true" hidden="false" outlineLevel="0" max="11" min="11" style="1" width="30"/>
  </cols>
  <sheetData>
    <row r="1" customFormat="false" ht="31.5" hidden="false" customHeight="true" outlineLevel="0" collapsed="false">
      <c r="A1" s="2"/>
      <c r="B1" s="3" t="s">
        <v>347</v>
      </c>
      <c r="C1" s="3"/>
      <c r="D1" s="3"/>
      <c r="E1" s="3"/>
      <c r="F1" s="3"/>
      <c r="G1" s="3"/>
      <c r="H1" s="3"/>
      <c r="I1" s="3"/>
      <c r="J1" s="3"/>
      <c r="K1" s="2"/>
    </row>
    <row r="2" customFormat="false" ht="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15" hidden="false" customHeight="true" outlineLevel="0" collapsed="false">
      <c r="A3" s="2"/>
      <c r="B3" s="20"/>
      <c r="C3" s="21" t="n">
        <v>2026</v>
      </c>
      <c r="D3" s="21" t="n">
        <v>2027</v>
      </c>
      <c r="E3" s="21" t="n">
        <v>2028</v>
      </c>
      <c r="F3" s="21" t="n">
        <v>2029</v>
      </c>
      <c r="G3" s="21" t="n">
        <v>2030</v>
      </c>
      <c r="H3" s="21" t="n">
        <v>2031</v>
      </c>
      <c r="I3" s="21" t="n">
        <v>2032</v>
      </c>
      <c r="J3" s="21" t="n">
        <v>2033</v>
      </c>
      <c r="K3" s="2"/>
    </row>
    <row r="4" customFormat="false" ht="15" hidden="false" customHeight="true" outlineLevel="0" collapsed="false">
      <c r="A4" s="2"/>
      <c r="B4" s="7" t="s">
        <v>348</v>
      </c>
      <c r="C4" s="27" t="n">
        <f aca="false">Revenue!C11</f>
        <v>0</v>
      </c>
      <c r="D4" s="27" t="n">
        <f aca="false">Revenue!D11</f>
        <v>994130.5</v>
      </c>
      <c r="E4" s="27" t="n">
        <f aca="false">Revenue!E11</f>
        <v>2204592.775</v>
      </c>
      <c r="F4" s="27" t="n">
        <f aca="false">Revenue!F11</f>
        <v>3438791.4088</v>
      </c>
      <c r="G4" s="27" t="n">
        <f aca="false">Revenue!G11</f>
        <v>4288579.04622</v>
      </c>
      <c r="H4" s="27" t="n">
        <f aca="false">Revenue!H11</f>
        <v>4742417.68985884</v>
      </c>
      <c r="I4" s="27" t="n">
        <f aca="false">Revenue!I11</f>
        <v>4788298.04365602</v>
      </c>
      <c r="J4" s="27" t="n">
        <f aca="false">Revenue!J11</f>
        <v>4835096.00452914</v>
      </c>
      <c r="K4" s="2"/>
    </row>
    <row r="5" customFormat="false" ht="15" hidden="false" customHeight="true" outlineLevel="0" collapsed="false">
      <c r="A5" s="2"/>
      <c r="B5" s="7" t="s">
        <v>349</v>
      </c>
      <c r="C5" s="27" t="n">
        <f aca="false">CostToServe!C20</f>
        <v>72880</v>
      </c>
      <c r="D5" s="27" t="n">
        <f aca="false">CostToServe!D20</f>
        <v>1123358.18893939</v>
      </c>
      <c r="E5" s="27" t="n">
        <f aca="false">CostToServe!E20</f>
        <v>1666628.83937121</v>
      </c>
      <c r="F5" s="27" t="n">
        <f aca="false">CostToServe!F20</f>
        <v>2214409.39797503</v>
      </c>
      <c r="G5" s="27" t="n">
        <f aca="false">CostToServe!G20</f>
        <v>2584724.26120604</v>
      </c>
      <c r="H5" s="27" t="n">
        <f aca="false">CostToServe!H20</f>
        <v>2775381.20955803</v>
      </c>
      <c r="I5" s="27" t="n">
        <f aca="false">CostToServe!I20</f>
        <v>2784098.47677949</v>
      </c>
      <c r="J5" s="27" t="n">
        <f aca="false">CostToServe!J20</f>
        <v>2792990.08934539</v>
      </c>
      <c r="K5" s="2"/>
    </row>
    <row r="6" customFormat="false" ht="15" hidden="false" customHeight="true" outlineLevel="0" collapsed="false">
      <c r="A6" s="2"/>
      <c r="B6" s="15" t="s">
        <v>350</v>
      </c>
      <c r="C6" s="24" t="n">
        <f aca="false">C4-C5</f>
        <v>-72880</v>
      </c>
      <c r="D6" s="24" t="n">
        <f aca="false">D4-D5</f>
        <v>-129227.688939394</v>
      </c>
      <c r="E6" s="24" t="n">
        <f aca="false">E4-E5</f>
        <v>537963.935628788</v>
      </c>
      <c r="F6" s="24" t="n">
        <f aca="false">F4-F5</f>
        <v>1224382.01082497</v>
      </c>
      <c r="G6" s="24" t="n">
        <f aca="false">G4-G5</f>
        <v>1703854.78501396</v>
      </c>
      <c r="H6" s="24" t="n">
        <f aca="false">H4-H5</f>
        <v>1967036.48030081</v>
      </c>
      <c r="I6" s="24" t="n">
        <f aca="false">I4-I5</f>
        <v>2004199.56687653</v>
      </c>
      <c r="J6" s="24" t="n">
        <f aca="false">J4-J5</f>
        <v>2042105.91518375</v>
      </c>
      <c r="K6" s="2"/>
    </row>
    <row r="7" customFormat="false" ht="15" hidden="false" customHeight="true" outlineLevel="0" collapsed="false">
      <c r="A7" s="2"/>
      <c r="B7" s="7" t="s">
        <v>351</v>
      </c>
      <c r="C7" s="27" t="n">
        <f aca="false">CapEx!C10</f>
        <v>192484.533333333</v>
      </c>
      <c r="D7" s="27" t="n">
        <f aca="false">CapEx!D10</f>
        <v>235151.2</v>
      </c>
      <c r="E7" s="27" t="n">
        <f aca="false">CapEx!E10</f>
        <v>277817.866666667</v>
      </c>
      <c r="F7" s="27" t="n">
        <f aca="false">CapEx!F10</f>
        <v>320484.533333333</v>
      </c>
      <c r="G7" s="27" t="n">
        <f aca="false">CapEx!G10</f>
        <v>320484.533333333</v>
      </c>
      <c r="H7" s="27" t="n">
        <f aca="false">CapEx!H10</f>
        <v>320484.533333333</v>
      </c>
      <c r="I7" s="27" t="n">
        <f aca="false">CapEx!I10</f>
        <v>320484.533333333</v>
      </c>
      <c r="J7" s="27" t="n">
        <f aca="false">CapEx!J10</f>
        <v>320484.533333333</v>
      </c>
      <c r="K7" s="2"/>
    </row>
    <row r="8" customFormat="false" ht="15" hidden="false" customHeight="true" outlineLevel="0" collapsed="false">
      <c r="A8" s="2"/>
      <c r="B8" s="7" t="s">
        <v>352</v>
      </c>
      <c r="C8" s="32" t="n">
        <f aca="false">C6-C7</f>
        <v>-265364.533333333</v>
      </c>
      <c r="D8" s="32" t="n">
        <f aca="false">D6-D7</f>
        <v>-364378.888939394</v>
      </c>
      <c r="E8" s="32" t="n">
        <f aca="false">E6-E7</f>
        <v>260146.068962121</v>
      </c>
      <c r="F8" s="32" t="n">
        <f aca="false">F6-F7</f>
        <v>903897.477491637</v>
      </c>
      <c r="G8" s="32" t="n">
        <f aca="false">G6-G7</f>
        <v>1383370.25168062</v>
      </c>
      <c r="H8" s="32" t="n">
        <f aca="false">H6-H7</f>
        <v>1646551.94696748</v>
      </c>
      <c r="I8" s="32" t="n">
        <f aca="false">I6-I7</f>
        <v>1683715.03354319</v>
      </c>
      <c r="J8" s="32" t="n">
        <f aca="false">J6-J7</f>
        <v>1721621.38185042</v>
      </c>
      <c r="K8" s="2"/>
    </row>
    <row r="9" customFormat="false" ht="15" hidden="false" customHeight="true" outlineLevel="0" collapsed="false">
      <c r="A9" s="2"/>
      <c r="B9" s="7" t="s">
        <v>353</v>
      </c>
      <c r="C9" s="17" t="n">
        <f aca="false">IF(C8&gt;0,Assumptions!$C$5*C8,0)</f>
        <v>0</v>
      </c>
      <c r="D9" s="17" t="n">
        <f aca="false">IF(D8&gt;0,Assumptions!$C$5*D8,0)</f>
        <v>0</v>
      </c>
      <c r="E9" s="17" t="n">
        <f aca="false">IF(E8&gt;0,Assumptions!$C$5*E8,0)</f>
        <v>13007.3034481061</v>
      </c>
      <c r="F9" s="17" t="n">
        <f aca="false">IF(F8&gt;0,Assumptions!$C$5*F8,0)</f>
        <v>45194.8738745818</v>
      </c>
      <c r="G9" s="17" t="n">
        <f aca="false">IF(G8&gt;0,Assumptions!$C$5*G8,0)</f>
        <v>69168.5125840312</v>
      </c>
      <c r="H9" s="17" t="n">
        <f aca="false">IF(H8&gt;0,Assumptions!$C$5*H8,0)</f>
        <v>82327.597348374</v>
      </c>
      <c r="I9" s="17" t="n">
        <f aca="false">IF(I8&gt;0,Assumptions!$C$5*I8,0)</f>
        <v>84185.7516771596</v>
      </c>
      <c r="J9" s="17" t="n">
        <f aca="false">IF(J8&gt;0,Assumptions!$C$5*J8,0)</f>
        <v>86081.069092521</v>
      </c>
      <c r="K9" s="2"/>
    </row>
    <row r="10" customFormat="false" ht="15" hidden="false" customHeight="true" outlineLevel="0" collapsed="false">
      <c r="A10" s="2"/>
      <c r="B10" s="15" t="s">
        <v>354</v>
      </c>
      <c r="C10" s="24" t="n">
        <f aca="false">C8-C9</f>
        <v>-265364.533333333</v>
      </c>
      <c r="D10" s="24" t="n">
        <f aca="false">D8-D9</f>
        <v>-364378.888939394</v>
      </c>
      <c r="E10" s="24" t="n">
        <f aca="false">E8-E9</f>
        <v>247138.765514015</v>
      </c>
      <c r="F10" s="24" t="n">
        <f aca="false">F8-F9</f>
        <v>858702.603617055</v>
      </c>
      <c r="G10" s="24" t="n">
        <f aca="false">G8-G9</f>
        <v>1314201.73909659</v>
      </c>
      <c r="H10" s="24" t="n">
        <f aca="false">H8-H9</f>
        <v>1564224.34961911</v>
      </c>
      <c r="I10" s="24" t="n">
        <f aca="false">I8-I9</f>
        <v>1599529.28186603</v>
      </c>
      <c r="J10" s="24" t="n">
        <f aca="false">J8-J9</f>
        <v>1635540.3127579</v>
      </c>
      <c r="K10" s="2"/>
    </row>
    <row r="11" customFormat="false" ht="15" hidden="false" customHeight="true" outlineLevel="0" collapsed="false">
      <c r="A11" s="2"/>
      <c r="B11" s="7" t="s">
        <v>8</v>
      </c>
      <c r="C11" s="31" t="n">
        <f aca="false">IF(C4=0,0,C6/C4)</f>
        <v>0</v>
      </c>
      <c r="D11" s="31" t="n">
        <f aca="false">IF(D4=0,0,D6/D4)</f>
        <v>-0.1299906691721</v>
      </c>
      <c r="E11" s="31" t="n">
        <f aca="false">IF(E4=0,0,E6/E4)</f>
        <v>0.244019640148185</v>
      </c>
      <c r="F11" s="31" t="n">
        <f aca="false">IF(F4=0,0,F6/F4)</f>
        <v>0.356050095883027</v>
      </c>
      <c r="G11" s="31" t="n">
        <f aca="false">IF(G4=0,0,G6/G4)</f>
        <v>0.397300543292015</v>
      </c>
      <c r="H11" s="31" t="n">
        <f aca="false">IF(H4=0,0,H6/H4)</f>
        <v>0.414775038585722</v>
      </c>
      <c r="I11" s="31" t="n">
        <f aca="false">IF(I4=0,0,I6/I4)</f>
        <v>0.418561991881829</v>
      </c>
      <c r="J11" s="31" t="n">
        <f aca="false">IF(J4=0,0,J6/J4)</f>
        <v>0.4223506448002</v>
      </c>
      <c r="K11" s="2"/>
    </row>
    <row r="12" customFormat="false" ht="15" hidden="false" customHeight="true" outlineLevel="0" collapsed="false">
      <c r="A12" s="2"/>
      <c r="B12" s="7" t="s">
        <v>355</v>
      </c>
      <c r="C12" s="31" t="n">
        <f aca="false">IF(C4=0,0,C10/C4)</f>
        <v>0</v>
      </c>
      <c r="D12" s="31" t="n">
        <f aca="false">IF(D4=0,0,D10/D4)</f>
        <v>-0.366530238172347</v>
      </c>
      <c r="E12" s="31" t="n">
        <f aca="false">IF(E4=0,0,E10/E4)</f>
        <v>0.112101776036173</v>
      </c>
      <c r="F12" s="31" t="n">
        <f aca="false">IF(F4=0,0,F10/F4)</f>
        <v>0.249710581868851</v>
      </c>
      <c r="G12" s="31" t="n">
        <f aca="false">IF(G4=0,0,G10/G4)</f>
        <v>0.306442232947751</v>
      </c>
      <c r="H12" s="31" t="n">
        <f aca="false">IF(H4=0,0,H10/H4)</f>
        <v>0.329836900061341</v>
      </c>
      <c r="I12" s="31" t="n">
        <f aca="false">IF(I4=0,0,I10/I4)</f>
        <v>0.33404964922458</v>
      </c>
      <c r="J12" s="31" t="n">
        <f aca="false">IF(J4=0,0,J10/J4)</f>
        <v>0.338264289111499</v>
      </c>
      <c r="K12" s="2"/>
    </row>
    <row r="13" customFormat="false" ht="15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customFormat="false" ht="15" hidden="false" customHeight="true" outlineLevel="0" collapsed="false">
      <c r="A14" s="2"/>
      <c r="B14" s="4" t="s">
        <v>356</v>
      </c>
      <c r="C14" s="2"/>
      <c r="D14" s="2"/>
      <c r="E14" s="2"/>
      <c r="F14" s="2"/>
      <c r="G14" s="2"/>
      <c r="H14" s="2"/>
      <c r="I14" s="2"/>
      <c r="J14" s="2"/>
      <c r="K14" s="2"/>
    </row>
    <row r="15" customFormat="false" ht="15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customFormat="false" ht="15" hidden="false" customHeight="tru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</sheetData>
  <mergeCells count="1">
    <mergeCell ref="B1:J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3C2E"/>
    <pageSetUpPr fitToPage="false"/>
  </sheetPr>
  <dimension ref="A1:K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6796875" defaultRowHeight="15" customHeight="fals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44"/>
    <col collapsed="false" customWidth="true" hidden="false" outlineLevel="0" max="10" min="3" style="1" width="13"/>
    <col collapsed="false" customWidth="true" hidden="false" outlineLevel="0" max="11" min="11" style="1" width="30"/>
  </cols>
  <sheetData>
    <row r="1" customFormat="false" ht="31.5" hidden="false" customHeight="true" outlineLevel="0" collapsed="false">
      <c r="A1" s="2"/>
      <c r="B1" s="3" t="s">
        <v>357</v>
      </c>
      <c r="C1" s="3"/>
      <c r="D1" s="3"/>
      <c r="E1" s="3"/>
      <c r="F1" s="3"/>
      <c r="G1" s="3"/>
      <c r="H1" s="3"/>
      <c r="I1" s="3"/>
      <c r="J1" s="3"/>
      <c r="K1" s="2"/>
    </row>
    <row r="2" customFormat="false" ht="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15" hidden="false" customHeight="true" outlineLevel="0" collapsed="false">
      <c r="A3" s="2"/>
      <c r="B3" s="20"/>
      <c r="C3" s="21" t="n">
        <v>2026</v>
      </c>
      <c r="D3" s="21" t="n">
        <v>2027</v>
      </c>
      <c r="E3" s="21" t="n">
        <v>2028</v>
      </c>
      <c r="F3" s="21" t="n">
        <v>2029</v>
      </c>
      <c r="G3" s="21" t="n">
        <v>2030</v>
      </c>
      <c r="H3" s="21" t="n">
        <v>2031</v>
      </c>
      <c r="I3" s="21" t="n">
        <v>2032</v>
      </c>
      <c r="J3" s="21" t="n">
        <v>2033</v>
      </c>
      <c r="K3" s="2"/>
    </row>
    <row r="4" customFormat="false" ht="15" hidden="false" customHeight="true" outlineLevel="0" collapsed="false">
      <c r="A4" s="2"/>
      <c r="B4" s="7" t="s">
        <v>358</v>
      </c>
      <c r="C4" s="27" t="n">
        <f aca="false">PnL!C10</f>
        <v>-265364.533333333</v>
      </c>
      <c r="D4" s="27" t="n">
        <f aca="false">PnL!D10</f>
        <v>-364378.888939394</v>
      </c>
      <c r="E4" s="27" t="n">
        <f aca="false">PnL!E10</f>
        <v>247138.765514015</v>
      </c>
      <c r="F4" s="27" t="n">
        <f aca="false">PnL!F10</f>
        <v>858702.603617055</v>
      </c>
      <c r="G4" s="27" t="n">
        <f aca="false">PnL!G10</f>
        <v>1314201.73909659</v>
      </c>
      <c r="H4" s="27" t="n">
        <f aca="false">PnL!H10</f>
        <v>1564224.34961911</v>
      </c>
      <c r="I4" s="27" t="n">
        <f aca="false">PnL!I10</f>
        <v>1599529.28186603</v>
      </c>
      <c r="J4" s="27" t="n">
        <f aca="false">PnL!J10</f>
        <v>1635540.3127579</v>
      </c>
      <c r="K4" s="2"/>
    </row>
    <row r="5" customFormat="false" ht="15" hidden="false" customHeight="true" outlineLevel="0" collapsed="false">
      <c r="A5" s="2"/>
      <c r="B5" s="7" t="s">
        <v>359</v>
      </c>
      <c r="C5" s="27" t="n">
        <f aca="false">PnL!C7</f>
        <v>192484.533333333</v>
      </c>
      <c r="D5" s="27" t="n">
        <f aca="false">PnL!D7</f>
        <v>235151.2</v>
      </c>
      <c r="E5" s="27" t="n">
        <f aca="false">PnL!E7</f>
        <v>277817.866666667</v>
      </c>
      <c r="F5" s="27" t="n">
        <f aca="false">PnL!F7</f>
        <v>320484.533333333</v>
      </c>
      <c r="G5" s="27" t="n">
        <f aca="false">PnL!G7</f>
        <v>320484.533333333</v>
      </c>
      <c r="H5" s="27" t="n">
        <f aca="false">PnL!H7</f>
        <v>320484.533333333</v>
      </c>
      <c r="I5" s="27" t="n">
        <f aca="false">PnL!I7</f>
        <v>320484.533333333</v>
      </c>
      <c r="J5" s="27" t="n">
        <f aca="false">PnL!J7</f>
        <v>320484.533333333</v>
      </c>
      <c r="K5" s="2"/>
    </row>
    <row r="6" customFormat="false" ht="15" hidden="false" customHeight="true" outlineLevel="0" collapsed="false">
      <c r="A6" s="2"/>
      <c r="B6" s="7" t="s">
        <v>360</v>
      </c>
      <c r="C6" s="17" t="n">
        <f aca="false">(Assumptions!$C$54/365)*Revenue!C11-(Assumptions!$C$55/365)*CostToServe!C20</f>
        <v>-7986.84931506849</v>
      </c>
      <c r="D6" s="17" t="n">
        <f aca="false">(Assumptions!$C$54/365)*Revenue!D11-(Assumptions!$C$55/365)*CostToServe!D20</f>
        <v>-95871.2946782898</v>
      </c>
      <c r="E6" s="17" t="n">
        <f aca="false">(Assumptions!$C$54/365)*Revenue!E11-(Assumptions!$C$55/365)*CostToServe!E20</f>
        <v>-122244.454314653</v>
      </c>
      <c r="F6" s="17" t="n">
        <f aca="false">(Assumptions!$C$54/365)*Revenue!F11-(Assumptions!$C$55/365)*CostToServe!F20</f>
        <v>-148461.539263017</v>
      </c>
      <c r="G6" s="17" t="n">
        <f aca="false">(Assumptions!$C$54/365)*Revenue!G11-(Assumptions!$C$55/365)*CostToServe!G20</f>
        <v>-165762.136948059</v>
      </c>
      <c r="H6" s="17" t="n">
        <f aca="false">(Assumptions!$C$54/365)*Revenue!H11-(Assumptions!$C$55/365)*CostToServe!H20</f>
        <v>-174222.113654062</v>
      </c>
      <c r="I6" s="17" t="n">
        <f aca="false">(Assumptions!$C$54/365)*Revenue!I11-(Assumptions!$C$55/365)*CostToServe!I20</f>
        <v>-173920.434615396</v>
      </c>
      <c r="J6" s="17" t="n">
        <f aca="false">(Assumptions!$C$54/365)*Revenue!J11-(Assumptions!$C$55/365)*CostToServe!J20</f>
        <v>-173612.721995956</v>
      </c>
      <c r="K6" s="2"/>
    </row>
    <row r="7" customFormat="false" ht="15" hidden="false" customHeight="true" outlineLevel="0" collapsed="false">
      <c r="A7" s="2"/>
      <c r="B7" s="7" t="s">
        <v>361</v>
      </c>
      <c r="C7" s="17" t="n">
        <f aca="false">C6</f>
        <v>-7986.84931506849</v>
      </c>
      <c r="D7" s="17" t="n">
        <f aca="false">D6-C6</f>
        <v>-87884.4453632213</v>
      </c>
      <c r="E7" s="17" t="n">
        <f aca="false">E6-D6</f>
        <v>-26373.1596363636</v>
      </c>
      <c r="F7" s="17" t="n">
        <f aca="false">F6-E6</f>
        <v>-26217.0849483636</v>
      </c>
      <c r="G7" s="17" t="n">
        <f aca="false">G6-F6</f>
        <v>-17300.5976850424</v>
      </c>
      <c r="H7" s="17" t="n">
        <f aca="false">H6-G6</f>
        <v>-8459.97670600281</v>
      </c>
      <c r="I7" s="17" t="n">
        <f aca="false">I6-H6</f>
        <v>301.679038666363</v>
      </c>
      <c r="J7" s="17" t="n">
        <f aca="false">J6-I6</f>
        <v>307.712619439641</v>
      </c>
      <c r="K7" s="2"/>
    </row>
    <row r="8" customFormat="false" ht="15" hidden="false" customHeight="true" outlineLevel="0" collapsed="false">
      <c r="A8" s="2"/>
      <c r="B8" s="7" t="s">
        <v>362</v>
      </c>
      <c r="C8" s="32" t="n">
        <f aca="false">C4+C5-C7</f>
        <v>-64893.1506849315</v>
      </c>
      <c r="D8" s="32" t="n">
        <f aca="false">D4+D5-D7</f>
        <v>-41343.2435761727</v>
      </c>
      <c r="E8" s="32" t="n">
        <f aca="false">E4+E5-E7</f>
        <v>551329.791817045</v>
      </c>
      <c r="F8" s="32" t="n">
        <f aca="false">F4+F5-F7</f>
        <v>1205404.22189875</v>
      </c>
      <c r="G8" s="32" t="n">
        <f aca="false">G4+G5-G7</f>
        <v>1651986.87011497</v>
      </c>
      <c r="H8" s="32" t="n">
        <f aca="false">H4+H5-H7</f>
        <v>1893168.85965844</v>
      </c>
      <c r="I8" s="32" t="n">
        <f aca="false">I4+I5-I7</f>
        <v>1919712.1361607</v>
      </c>
      <c r="J8" s="32" t="n">
        <f aca="false">J4+J5-J7</f>
        <v>1955717.13347179</v>
      </c>
      <c r="K8" s="2"/>
    </row>
    <row r="9" customFormat="false" ht="15" hidden="false" customHeight="true" outlineLevel="0" collapsed="false">
      <c r="A9" s="2"/>
      <c r="B9" s="7" t="s">
        <v>363</v>
      </c>
      <c r="C9" s="27" t="n">
        <f aca="false">-CapEx!C6</f>
        <v>-270000</v>
      </c>
      <c r="D9" s="27" t="n">
        <f aca="false">-CapEx!D6</f>
        <v>-640000</v>
      </c>
      <c r="E9" s="27" t="n">
        <f aca="false">-CapEx!E6</f>
        <v>-640000</v>
      </c>
      <c r="F9" s="27" t="n">
        <f aca="false">-CapEx!F6</f>
        <v>-731000</v>
      </c>
      <c r="G9" s="27" t="n">
        <f aca="false">-CapEx!G6</f>
        <v>-0</v>
      </c>
      <c r="H9" s="27" t="n">
        <f aca="false">-CapEx!H6</f>
        <v>-91000</v>
      </c>
      <c r="I9" s="27" t="n">
        <f aca="false">-CapEx!I6</f>
        <v>-0</v>
      </c>
      <c r="J9" s="27" t="n">
        <f aca="false">-CapEx!J6</f>
        <v>-91000</v>
      </c>
      <c r="K9" s="2"/>
    </row>
    <row r="10" customFormat="false" ht="15" hidden="false" customHeight="true" outlineLevel="0" collapsed="false"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</row>
    <row r="11" customFormat="false" ht="15" hidden="false" customHeight="true" outlineLevel="0" collapsed="false">
      <c r="A11" s="2"/>
      <c r="B11" s="7" t="s">
        <v>364</v>
      </c>
      <c r="C11" s="17" t="n">
        <f aca="false">0</f>
        <v>0</v>
      </c>
      <c r="D11" s="17" t="n">
        <f aca="false">C17</f>
        <v>365106.849315069</v>
      </c>
      <c r="E11" s="17" t="n">
        <f aca="false">D17</f>
        <v>100000</v>
      </c>
      <c r="F11" s="17" t="n">
        <f aca="false">E17</f>
        <v>100000</v>
      </c>
      <c r="G11" s="17" t="n">
        <f aca="false">F17</f>
        <v>574404.221898752</v>
      </c>
      <c r="H11" s="17" t="n">
        <f aca="false">G17</f>
        <v>2226391.09201372</v>
      </c>
      <c r="I11" s="17" t="n">
        <f aca="false">H17</f>
        <v>4028559.95167216</v>
      </c>
      <c r="J11" s="17" t="n">
        <f aca="false">I17</f>
        <v>5948272.08783286</v>
      </c>
      <c r="K11" s="2"/>
    </row>
    <row r="12" customFormat="false" ht="15" hidden="false" customHeight="true" outlineLevel="0" collapsed="false">
      <c r="A12" s="2"/>
      <c r="B12" s="7" t="s">
        <v>365</v>
      </c>
      <c r="C12" s="32" t="n">
        <f aca="false">C11+C8+C9+C10</f>
        <v>-334893.150684932</v>
      </c>
      <c r="D12" s="32" t="n">
        <f aca="false">D11+D8+D9+D10</f>
        <v>-316236.394261104</v>
      </c>
      <c r="E12" s="32" t="n">
        <f aca="false">E11+E8+E9+E10</f>
        <v>11329.7918170454</v>
      </c>
      <c r="F12" s="32" t="n">
        <f aca="false">F11+F8+F9+F10</f>
        <v>574404.221898752</v>
      </c>
      <c r="G12" s="32" t="n">
        <f aca="false">G11+G8+G9+G10</f>
        <v>2226391.09201372</v>
      </c>
      <c r="H12" s="32" t="n">
        <f aca="false">H11+H8+H9+H10</f>
        <v>4028559.95167216</v>
      </c>
      <c r="I12" s="32" t="n">
        <f aca="false">I11+I8+I9+I10</f>
        <v>5948272.08783286</v>
      </c>
      <c r="J12" s="32" t="n">
        <f aca="false">J11+J8+J9+J10</f>
        <v>7812989.22130465</v>
      </c>
      <c r="K12" s="2"/>
    </row>
    <row r="13" customFormat="false" ht="15" hidden="false" customHeight="true" outlineLevel="0" collapsed="false">
      <c r="A13" s="2"/>
      <c r="B13" s="7" t="s">
        <v>366</v>
      </c>
      <c r="C13" s="17" t="n">
        <f aca="false">IF(C$3=2026,Assumptions!$C$60,0)</f>
        <v>700000</v>
      </c>
      <c r="D13" s="17" t="n">
        <f aca="false">IF(D$3=2026,Assumptions!$C$60,0)</f>
        <v>0</v>
      </c>
      <c r="E13" s="17" t="n">
        <f aca="false">IF(E$3=2026,Assumptions!$C$60,0)</f>
        <v>0</v>
      </c>
      <c r="F13" s="17" t="n">
        <f aca="false">IF(F$3=2026,Assumptions!$C$60,0)</f>
        <v>0</v>
      </c>
      <c r="G13" s="17" t="n">
        <f aca="false">IF(G$3=2026,Assumptions!$C$60,0)</f>
        <v>0</v>
      </c>
      <c r="H13" s="17" t="n">
        <f aca="false">IF(H$3=2026,Assumptions!$C$60,0)</f>
        <v>0</v>
      </c>
      <c r="I13" s="17" t="n">
        <f aca="false">IF(I$3=2026,Assumptions!$C$60,0)</f>
        <v>0</v>
      </c>
      <c r="J13" s="17" t="n">
        <f aca="false">IF(J$3=2026,Assumptions!$C$60,0)</f>
        <v>0</v>
      </c>
      <c r="K13" s="2"/>
    </row>
    <row r="14" customFormat="false" ht="15" hidden="false" customHeight="true" outlineLevel="0" collapsed="false">
      <c r="A14" s="2"/>
      <c r="B14" s="7" t="s">
        <v>367</v>
      </c>
      <c r="C14" s="17" t="n">
        <f aca="false">MIN(Assumptions!$C$57-Assumptions!$C$60,MAX(0,Assumptions!$C$59-(C12+C13)))</f>
        <v>0</v>
      </c>
      <c r="D14" s="17" t="n">
        <f aca="false">MIN(Assumptions!$C$57-Assumptions!$C$60-C15,MAX(0,Assumptions!$C$59-(D12+D13)))</f>
        <v>416236.394261104</v>
      </c>
      <c r="E14" s="17" t="n">
        <f aca="false">MIN(Assumptions!$C$57-Assumptions!$C$60-D15,MAX(0,Assumptions!$C$59-(E12+E13)))</f>
        <v>88670.2081829546</v>
      </c>
      <c r="F14" s="17" t="n">
        <f aca="false">MIN(Assumptions!$C$57-Assumptions!$C$60-E15,MAX(0,Assumptions!$C$59-(F12+F13)))</f>
        <v>0</v>
      </c>
      <c r="G14" s="17" t="n">
        <f aca="false">MIN(Assumptions!$C$57-Assumptions!$C$60-F15,MAX(0,Assumptions!$C$59-(G12+G13)))</f>
        <v>0</v>
      </c>
      <c r="H14" s="17" t="n">
        <f aca="false">MIN(Assumptions!$C$57-Assumptions!$C$60-G15,MAX(0,Assumptions!$C$59-(H12+H13)))</f>
        <v>0</v>
      </c>
      <c r="I14" s="17" t="n">
        <f aca="false">MIN(Assumptions!$C$57-Assumptions!$C$60-H15,MAX(0,Assumptions!$C$59-(I12+I13)))</f>
        <v>0</v>
      </c>
      <c r="J14" s="17" t="n">
        <f aca="false">MIN(Assumptions!$C$57-Assumptions!$C$60-I15,MAX(0,Assumptions!$C$59-(J12+J13)))</f>
        <v>0</v>
      </c>
      <c r="K14" s="2"/>
    </row>
    <row r="15" customFormat="false" ht="15" hidden="false" customHeight="true" outlineLevel="0" collapsed="false">
      <c r="A15" s="2"/>
      <c r="B15" s="7" t="s">
        <v>368</v>
      </c>
      <c r="C15" s="17" t="n">
        <f aca="false">C14</f>
        <v>0</v>
      </c>
      <c r="D15" s="17" t="n">
        <f aca="false">C15+D14</f>
        <v>416236.394261104</v>
      </c>
      <c r="E15" s="17" t="n">
        <f aca="false">D15+E14</f>
        <v>504906.602444059</v>
      </c>
      <c r="F15" s="17" t="n">
        <f aca="false">E15+F14</f>
        <v>504906.602444059</v>
      </c>
      <c r="G15" s="17" t="n">
        <f aca="false">F15+G14</f>
        <v>504906.602444059</v>
      </c>
      <c r="H15" s="17" t="n">
        <f aca="false">G15+H14</f>
        <v>504906.602444059</v>
      </c>
      <c r="I15" s="17" t="n">
        <f aca="false">H15+I14</f>
        <v>504906.602444059</v>
      </c>
      <c r="J15" s="17" t="n">
        <f aca="false">I15+J14</f>
        <v>504906.602444059</v>
      </c>
      <c r="K15" s="2"/>
    </row>
    <row r="16" customFormat="false" ht="15" hidden="false" customHeight="true" outlineLevel="0" collapsed="false">
      <c r="A16" s="2"/>
      <c r="B16" s="7" t="s">
        <v>369</v>
      </c>
      <c r="C16" s="32" t="n">
        <f aca="false">C8+C9+C10+C13+C14</f>
        <v>365106.849315069</v>
      </c>
      <c r="D16" s="32" t="n">
        <f aca="false">D8+D9+D10+D13+D14</f>
        <v>-265106.849315069</v>
      </c>
      <c r="E16" s="32" t="n">
        <f aca="false">E8+E9+E10+E13+E14</f>
        <v>0</v>
      </c>
      <c r="F16" s="32" t="n">
        <f aca="false">F8+F9+F10+F13+F14</f>
        <v>474404.221898752</v>
      </c>
      <c r="G16" s="32" t="n">
        <f aca="false">G8+G9+G10+G13+G14</f>
        <v>1651986.87011497</v>
      </c>
      <c r="H16" s="32" t="n">
        <f aca="false">H8+H9+H10+H13+H14</f>
        <v>1802168.85965844</v>
      </c>
      <c r="I16" s="32" t="n">
        <f aca="false">I8+I9+I10+I13+I14</f>
        <v>1919712.1361607</v>
      </c>
      <c r="J16" s="32" t="n">
        <f aca="false">J8+J9+J10+J13+J14</f>
        <v>1864717.13347179</v>
      </c>
      <c r="K16" s="2"/>
    </row>
    <row r="17" customFormat="false" ht="15" hidden="false" customHeight="true" outlineLevel="0" collapsed="false">
      <c r="A17" s="2"/>
      <c r="B17" s="15" t="s">
        <v>370</v>
      </c>
      <c r="C17" s="24" t="n">
        <f aca="false">C12+C13+C14</f>
        <v>365106.849315069</v>
      </c>
      <c r="D17" s="24" t="n">
        <f aca="false">D12+D13+D14</f>
        <v>100000</v>
      </c>
      <c r="E17" s="24" t="n">
        <f aca="false">E12+E13+E14</f>
        <v>100000</v>
      </c>
      <c r="F17" s="24" t="n">
        <f aca="false">F12+F13+F14</f>
        <v>574404.221898752</v>
      </c>
      <c r="G17" s="24" t="n">
        <f aca="false">G12+G13+G14</f>
        <v>2226391.09201372</v>
      </c>
      <c r="H17" s="24" t="n">
        <f aca="false">H12+H13+H14</f>
        <v>4028559.95167216</v>
      </c>
      <c r="I17" s="24" t="n">
        <f aca="false">I12+I13+I14</f>
        <v>5948272.08783286</v>
      </c>
      <c r="J17" s="24" t="n">
        <f aca="false">J12+J13+J14</f>
        <v>7812989.22130465</v>
      </c>
      <c r="K17" s="2"/>
    </row>
    <row r="18" customFormat="false" ht="15" hidden="false" customHeight="true" outlineLevel="0" collapsed="false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customFormat="false" ht="15" hidden="false" customHeight="true" outlineLevel="0" collapsed="false">
      <c r="A19" s="2"/>
      <c r="B19" s="4" t="s">
        <v>371</v>
      </c>
      <c r="C19" s="2"/>
      <c r="D19" s="2"/>
      <c r="E19" s="2"/>
      <c r="F19" s="2"/>
      <c r="G19" s="2"/>
      <c r="H19" s="2"/>
      <c r="I19" s="2"/>
      <c r="J19" s="2"/>
      <c r="K19" s="2"/>
    </row>
    <row r="20" customFormat="false" ht="15" hidden="false" customHeight="true" outlineLevel="0" collapsed="false">
      <c r="A20" s="2"/>
      <c r="B20" s="4" t="s">
        <v>372</v>
      </c>
      <c r="C20" s="2"/>
      <c r="D20" s="2"/>
      <c r="E20" s="2"/>
      <c r="F20" s="2"/>
      <c r="G20" s="2"/>
      <c r="H20" s="2"/>
      <c r="I20" s="2"/>
      <c r="J20" s="2"/>
      <c r="K20" s="2"/>
    </row>
    <row r="21" customFormat="false" ht="15" hidden="false" customHeight="true" outlineLevel="0" collapsed="false">
      <c r="A21" s="2"/>
      <c r="B21" s="2" t="s">
        <v>373</v>
      </c>
      <c r="C21" s="2"/>
      <c r="D21" s="2"/>
      <c r="E21" s="2"/>
      <c r="F21" s="2"/>
      <c r="G21" s="2"/>
      <c r="H21" s="2"/>
      <c r="I21" s="2"/>
      <c r="J21" s="2"/>
      <c r="K21" s="2"/>
    </row>
    <row r="22" customFormat="false" ht="15" hidden="false" customHeight="tru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</sheetData>
  <mergeCells count="1">
    <mergeCell ref="B1:J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3C2E"/>
    <pageSetUpPr fitToPage="false"/>
  </sheetPr>
  <dimension ref="A1:K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6796875" defaultRowHeight="15" customHeight="fals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44"/>
    <col collapsed="false" customWidth="true" hidden="false" outlineLevel="0" max="3" min="3" style="1" width="15"/>
    <col collapsed="false" customWidth="true" hidden="false" outlineLevel="0" max="4" min="4" style="1" width="13"/>
    <col collapsed="false" customWidth="true" hidden="false" outlineLevel="0" max="5" min="5" style="1" width="46"/>
    <col collapsed="false" customWidth="true" hidden="false" outlineLevel="0" max="10" min="6" style="1" width="13"/>
    <col collapsed="false" customWidth="true" hidden="false" outlineLevel="0" max="11" min="11" style="1" width="30"/>
  </cols>
  <sheetData>
    <row r="1" customFormat="false" ht="31.5" hidden="false" customHeight="true" outlineLevel="0" collapsed="false">
      <c r="A1" s="2"/>
      <c r="B1" s="3" t="s">
        <v>374</v>
      </c>
      <c r="C1" s="3"/>
      <c r="D1" s="3"/>
      <c r="E1" s="3"/>
      <c r="F1" s="3"/>
      <c r="G1" s="3"/>
      <c r="H1" s="3"/>
      <c r="I1" s="3"/>
      <c r="J1" s="3"/>
      <c r="K1" s="2"/>
    </row>
    <row r="2" customFormat="false" ht="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15" hidden="false" customHeight="true" outlineLevel="0" collapsed="false">
      <c r="A3" s="2"/>
      <c r="B3" s="5" t="s">
        <v>375</v>
      </c>
      <c r="C3" s="6"/>
      <c r="D3" s="6"/>
      <c r="E3" s="6"/>
      <c r="F3" s="6"/>
      <c r="G3" s="6"/>
      <c r="H3" s="6"/>
      <c r="I3" s="6"/>
      <c r="J3" s="6"/>
      <c r="K3" s="2"/>
    </row>
    <row r="4" customFormat="false" ht="15" hidden="false" customHeight="true" outlineLevel="0" collapsed="false">
      <c r="A4" s="2"/>
      <c r="B4" s="7" t="s">
        <v>376</v>
      </c>
      <c r="C4" s="27" t="n">
        <f aca="false">Assumptions!$C$56</f>
        <v>2617268</v>
      </c>
      <c r="D4" s="2"/>
      <c r="E4" s="2"/>
      <c r="F4" s="2"/>
      <c r="G4" s="2"/>
      <c r="H4" s="2"/>
      <c r="I4" s="2"/>
      <c r="J4" s="2"/>
      <c r="K4" s="2"/>
    </row>
    <row r="5" customFormat="false" ht="15" hidden="false" customHeight="true" outlineLevel="0" collapsed="false">
      <c r="A5" s="2"/>
      <c r="B5" s="7" t="s">
        <v>377</v>
      </c>
      <c r="C5" s="13" t="n">
        <v>367363</v>
      </c>
      <c r="D5" s="31" t="n">
        <f aca="false">C5/$C$4</f>
        <v>0.140361246918543</v>
      </c>
      <c r="E5" s="4" t="s">
        <v>378</v>
      </c>
      <c r="F5" s="2"/>
      <c r="G5" s="2"/>
      <c r="H5" s="2"/>
      <c r="I5" s="2"/>
      <c r="J5" s="2"/>
      <c r="K5" s="2"/>
    </row>
    <row r="6" customFormat="false" ht="15" hidden="false" customHeight="true" outlineLevel="0" collapsed="false">
      <c r="A6" s="2"/>
      <c r="B6" s="7" t="s">
        <v>379</v>
      </c>
      <c r="C6" s="13" t="n">
        <v>220804</v>
      </c>
      <c r="D6" s="31" t="n">
        <f aca="false">C6/$C$4</f>
        <v>0.0843643065975666</v>
      </c>
      <c r="E6" s="2"/>
      <c r="F6" s="2"/>
      <c r="G6" s="2"/>
      <c r="H6" s="2"/>
      <c r="I6" s="2"/>
      <c r="J6" s="2"/>
      <c r="K6" s="2"/>
    </row>
    <row r="7" customFormat="false" ht="15" hidden="false" customHeight="true" outlineLevel="0" collapsed="false">
      <c r="A7" s="2"/>
      <c r="B7" s="7" t="s">
        <v>380</v>
      </c>
      <c r="C7" s="13" t="n">
        <v>182500</v>
      </c>
      <c r="D7" s="31" t="n">
        <f aca="false">C7/$C$4</f>
        <v>0.0697291985383232</v>
      </c>
      <c r="E7" s="2"/>
      <c r="F7" s="2"/>
      <c r="G7" s="2"/>
      <c r="H7" s="2"/>
      <c r="I7" s="2"/>
      <c r="J7" s="2"/>
      <c r="K7" s="2"/>
    </row>
    <row r="8" customFormat="false" ht="15" hidden="false" customHeight="true" outlineLevel="0" collapsed="false">
      <c r="A8" s="2"/>
      <c r="B8" s="7" t="s">
        <v>381</v>
      </c>
      <c r="C8" s="13" t="n">
        <v>147325</v>
      </c>
      <c r="D8" s="31" t="n">
        <f aca="false">C8/$C$4</f>
        <v>0.0562896119159368</v>
      </c>
      <c r="E8" s="2"/>
      <c r="F8" s="2"/>
      <c r="G8" s="2"/>
      <c r="H8" s="2"/>
      <c r="I8" s="2"/>
      <c r="J8" s="2"/>
      <c r="K8" s="2"/>
    </row>
    <row r="9" customFormat="false" ht="15" hidden="false" customHeight="true" outlineLevel="0" collapsed="false">
      <c r="A9" s="2"/>
      <c r="B9" s="7" t="s">
        <v>382</v>
      </c>
      <c r="C9" s="13" t="n">
        <v>112468</v>
      </c>
      <c r="D9" s="31" t="n">
        <f aca="false">C9/$C$4</f>
        <v>0.0429715260340172</v>
      </c>
      <c r="E9" s="2"/>
      <c r="F9" s="2"/>
      <c r="G9" s="2"/>
      <c r="H9" s="2"/>
      <c r="I9" s="2"/>
      <c r="J9" s="2"/>
      <c r="K9" s="2"/>
    </row>
    <row r="10" customFormat="false" ht="15" hidden="false" customHeight="true" outlineLevel="0" collapsed="false">
      <c r="A10" s="2"/>
      <c r="B10" s="7" t="s">
        <v>383</v>
      </c>
      <c r="C10" s="17" t="n">
        <f aca="false">C4-SUM(C5:C9)</f>
        <v>1586808</v>
      </c>
      <c r="D10" s="31" t="n">
        <f aca="false">C10/$C$4</f>
        <v>0.606284109995614</v>
      </c>
      <c r="E10" s="2"/>
      <c r="F10" s="2"/>
      <c r="G10" s="2"/>
      <c r="H10" s="2"/>
      <c r="I10" s="2"/>
      <c r="J10" s="2"/>
      <c r="K10" s="2"/>
    </row>
    <row r="11" customFormat="false" ht="15" hidden="false" customHeight="tru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customFormat="false" ht="15" hidden="false" customHeight="true" outlineLevel="0" collapsed="false">
      <c r="A12" s="2"/>
      <c r="B12" s="5" t="s">
        <v>384</v>
      </c>
      <c r="C12" s="6"/>
      <c r="D12" s="6"/>
      <c r="E12" s="6"/>
      <c r="F12" s="6"/>
      <c r="G12" s="6"/>
      <c r="H12" s="6"/>
      <c r="I12" s="6"/>
      <c r="J12" s="6"/>
      <c r="K12" s="2"/>
    </row>
    <row r="13" customFormat="false" ht="15" hidden="false" customHeight="true" outlineLevel="0" collapsed="false">
      <c r="A13" s="2"/>
      <c r="B13" s="7" t="s">
        <v>385</v>
      </c>
      <c r="C13" s="13" t="n">
        <v>420000</v>
      </c>
      <c r="D13" s="2"/>
      <c r="E13" s="2"/>
      <c r="F13" s="2"/>
      <c r="G13" s="2"/>
      <c r="H13" s="2"/>
      <c r="I13" s="2"/>
      <c r="J13" s="2"/>
      <c r="K13" s="2"/>
    </row>
    <row r="14" customFormat="false" ht="15" hidden="false" customHeight="true" outlineLevel="0" collapsed="false">
      <c r="A14" s="2"/>
      <c r="B14" s="7" t="s">
        <v>386</v>
      </c>
      <c r="C14" s="13" t="n">
        <v>820000</v>
      </c>
      <c r="D14" s="2"/>
      <c r="E14" s="2"/>
      <c r="F14" s="2"/>
      <c r="G14" s="2"/>
      <c r="H14" s="2"/>
      <c r="I14" s="2"/>
      <c r="J14" s="2"/>
      <c r="K14" s="2"/>
    </row>
    <row r="15" customFormat="false" ht="15" hidden="false" customHeight="true" outlineLevel="0" collapsed="false">
      <c r="A15" s="2"/>
      <c r="B15" s="7" t="s">
        <v>387</v>
      </c>
      <c r="C15" s="13" t="n">
        <v>1100000</v>
      </c>
      <c r="D15" s="2"/>
      <c r="E15" s="2"/>
      <c r="F15" s="2"/>
      <c r="G15" s="2"/>
      <c r="H15" s="2"/>
      <c r="I15" s="2"/>
      <c r="J15" s="2"/>
      <c r="K15" s="2"/>
    </row>
    <row r="16" customFormat="false" ht="15" hidden="false" customHeight="true" outlineLevel="0" collapsed="false">
      <c r="A16" s="2"/>
      <c r="B16" s="15" t="s">
        <v>388</v>
      </c>
      <c r="C16" s="24" t="n">
        <f aca="false">SUM(C13:C15)</f>
        <v>2340000</v>
      </c>
      <c r="D16" s="2"/>
      <c r="E16" s="2"/>
      <c r="F16" s="2"/>
      <c r="G16" s="2"/>
      <c r="H16" s="2"/>
      <c r="I16" s="2"/>
      <c r="J16" s="2"/>
      <c r="K16" s="2"/>
    </row>
    <row r="17" customFormat="false" ht="15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customFormat="false" ht="15" hidden="false" customHeight="true" outlineLevel="0" collapsed="false">
      <c r="A18" s="2"/>
      <c r="B18" s="5" t="s">
        <v>389</v>
      </c>
      <c r="C18" s="6"/>
      <c r="D18" s="6"/>
      <c r="E18" s="6"/>
      <c r="F18" s="6"/>
      <c r="G18" s="6"/>
      <c r="H18" s="6"/>
      <c r="I18" s="6"/>
      <c r="J18" s="6"/>
      <c r="K18" s="2"/>
    </row>
    <row r="19" customFormat="false" ht="15" hidden="false" customHeight="true" outlineLevel="0" collapsed="false">
      <c r="A19" s="2"/>
      <c r="B19" s="7" t="s">
        <v>390</v>
      </c>
      <c r="C19" s="27" t="n">
        <f aca="false">Assumptions!$C$60</f>
        <v>700000</v>
      </c>
      <c r="D19" s="2"/>
      <c r="E19" s="4" t="s">
        <v>391</v>
      </c>
      <c r="F19" s="2"/>
      <c r="G19" s="2"/>
      <c r="H19" s="2"/>
      <c r="I19" s="2"/>
      <c r="J19" s="2"/>
      <c r="K19" s="2"/>
    </row>
    <row r="20" customFormat="false" ht="15" hidden="false" customHeight="true" outlineLevel="0" collapsed="false">
      <c r="A20" s="2"/>
      <c r="B20" s="7" t="s">
        <v>392</v>
      </c>
      <c r="C20" s="17" t="n">
        <f aca="false">Assumptions!$C$57-Assumptions!$C$60</f>
        <v>1640000</v>
      </c>
      <c r="D20" s="2"/>
      <c r="E20" s="4" t="s">
        <v>393</v>
      </c>
      <c r="F20" s="2"/>
      <c r="G20" s="2"/>
      <c r="H20" s="2"/>
      <c r="I20" s="2"/>
      <c r="J20" s="2"/>
      <c r="K20" s="2"/>
    </row>
    <row r="21" customFormat="false" ht="15" hidden="false" customHeight="true" outlineLevel="0" collapsed="false">
      <c r="A21" s="2"/>
      <c r="B21" s="15" t="s">
        <v>394</v>
      </c>
      <c r="C21" s="24" t="n">
        <f aca="false">C19+C20</f>
        <v>2340000</v>
      </c>
      <c r="D21" s="2"/>
      <c r="E21" s="2"/>
      <c r="F21" s="2"/>
      <c r="G21" s="2"/>
      <c r="H21" s="2"/>
      <c r="I21" s="2"/>
      <c r="J21" s="2"/>
      <c r="K21" s="2"/>
    </row>
    <row r="22" customFormat="false" ht="15" hidden="false" customHeight="true" outlineLevel="0" collapsed="false">
      <c r="A22" s="2"/>
      <c r="B22" s="7" t="s">
        <v>395</v>
      </c>
      <c r="C22" s="27" t="n">
        <f aca="false">Assumptions!$C$13</f>
        <v>2620000</v>
      </c>
      <c r="D22" s="2"/>
      <c r="E22" s="4" t="s">
        <v>396</v>
      </c>
      <c r="F22" s="2"/>
      <c r="G22" s="2"/>
      <c r="H22" s="2"/>
      <c r="I22" s="2"/>
      <c r="J22" s="2"/>
      <c r="K22" s="2"/>
    </row>
    <row r="23" customFormat="false" ht="15" hidden="false" customHeight="true" outlineLevel="0" collapsed="false">
      <c r="A23" s="2"/>
      <c r="B23" s="15" t="s">
        <v>397</v>
      </c>
      <c r="C23" s="33" t="n">
        <f aca="false">C19/(C22+C19)</f>
        <v>0.210843373493976</v>
      </c>
      <c r="D23" s="2"/>
      <c r="E23" s="4" t="s">
        <v>398</v>
      </c>
      <c r="F23" s="2"/>
      <c r="G23" s="2"/>
      <c r="H23" s="2"/>
      <c r="I23" s="2"/>
      <c r="J23" s="2"/>
      <c r="K23" s="2"/>
    </row>
    <row r="24" customFormat="false" ht="15" hidden="false" customHeight="tru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customFormat="false" ht="15" hidden="false" customHeight="true" outlineLevel="0" collapsed="false">
      <c r="A25" s="2"/>
      <c r="B25" s="5" t="s">
        <v>399</v>
      </c>
      <c r="C25" s="6"/>
      <c r="D25" s="6"/>
      <c r="E25" s="6"/>
      <c r="F25" s="6"/>
      <c r="G25" s="6"/>
      <c r="H25" s="6"/>
      <c r="I25" s="6"/>
      <c r="J25" s="6"/>
      <c r="K25" s="2"/>
    </row>
    <row r="26" customFormat="false" ht="15" hidden="false" customHeight="true" outlineLevel="0" collapsed="false">
      <c r="A26" s="2"/>
      <c r="B26" s="7" t="s">
        <v>400</v>
      </c>
      <c r="C26" s="27" t="n">
        <f aca="false">Valuation!C14</f>
        <v>7690295.57530742</v>
      </c>
      <c r="D26" s="2"/>
      <c r="E26" s="2"/>
      <c r="F26" s="2"/>
      <c r="G26" s="2"/>
      <c r="H26" s="2"/>
      <c r="I26" s="2"/>
      <c r="J26" s="2"/>
      <c r="K26" s="2"/>
    </row>
    <row r="27" customFormat="false" ht="15" hidden="false" customHeight="true" outlineLevel="0" collapsed="false">
      <c r="A27" s="2"/>
      <c r="B27" s="7" t="s">
        <v>401</v>
      </c>
      <c r="C27" s="27" t="n">
        <f aca="false">Valuation!C19</f>
        <v>13769255.3621057</v>
      </c>
      <c r="D27" s="2"/>
      <c r="E27" s="2"/>
      <c r="F27" s="2"/>
      <c r="G27" s="2"/>
      <c r="H27" s="2"/>
      <c r="I27" s="2"/>
      <c r="J27" s="2"/>
      <c r="K27" s="2"/>
    </row>
    <row r="28" customFormat="false" ht="15" hidden="false" customHeight="true" outlineLevel="0" collapsed="false">
      <c r="A28" s="2"/>
      <c r="B28" s="15" t="s">
        <v>402</v>
      </c>
      <c r="C28" s="32" t="n">
        <f aca="false">C23*C26</f>
        <v>1621447.86226361</v>
      </c>
      <c r="D28" s="2"/>
      <c r="E28" s="4" t="s">
        <v>403</v>
      </c>
      <c r="F28" s="2"/>
      <c r="G28" s="2"/>
      <c r="H28" s="2"/>
      <c r="I28" s="2"/>
      <c r="J28" s="2"/>
      <c r="K28" s="2"/>
    </row>
    <row r="29" customFormat="false" ht="15" hidden="false" customHeight="true" outlineLevel="0" collapsed="false">
      <c r="A29" s="2"/>
      <c r="B29" s="15" t="s">
        <v>404</v>
      </c>
      <c r="C29" s="32" t="n">
        <f aca="false">C23*C27</f>
        <v>2903156.25104638</v>
      </c>
      <c r="D29" s="2"/>
      <c r="E29" s="2"/>
      <c r="F29" s="2"/>
      <c r="G29" s="2"/>
      <c r="H29" s="2"/>
      <c r="I29" s="2"/>
      <c r="J29" s="2"/>
      <c r="K29" s="2"/>
    </row>
    <row r="30" customFormat="false" ht="15" hidden="false" customHeight="tru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customFormat="false" ht="15" hidden="false" customHeight="true" outlineLevel="0" collapsed="false">
      <c r="A31" s="2"/>
      <c r="B31" s="15" t="s">
        <v>405</v>
      </c>
      <c r="C31" s="24" t="n">
        <f aca="false">C4+Assumptions!$C$57</f>
        <v>4957268</v>
      </c>
      <c r="D31" s="2"/>
      <c r="E31" s="2"/>
      <c r="F31" s="2"/>
      <c r="G31" s="2"/>
      <c r="H31" s="2"/>
      <c r="I31" s="2"/>
      <c r="J31" s="2"/>
      <c r="K31" s="2"/>
    </row>
    <row r="32" customFormat="false" ht="15" hidden="false" customHeight="tru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customFormat="false" ht="15" hidden="false" customHeight="true" outlineLevel="0" collapsed="false">
      <c r="A33" s="2"/>
      <c r="B33" s="5" t="s">
        <v>406</v>
      </c>
      <c r="C33" s="6"/>
      <c r="D33" s="6"/>
      <c r="E33" s="6"/>
      <c r="F33" s="6"/>
      <c r="G33" s="6"/>
      <c r="H33" s="6"/>
      <c r="I33" s="6"/>
      <c r="J33" s="6"/>
      <c r="K33" s="2"/>
    </row>
    <row r="34" customFormat="false" ht="15" hidden="false" customHeight="true" outlineLevel="0" collapsed="false">
      <c r="A34" s="2"/>
      <c r="B34" s="7" t="s">
        <v>407</v>
      </c>
      <c r="C34" s="17" t="n">
        <v>700000</v>
      </c>
      <c r="D34" s="2"/>
      <c r="E34" s="4" t="s">
        <v>408</v>
      </c>
      <c r="F34" s="2"/>
      <c r="G34" s="2"/>
      <c r="H34" s="2"/>
      <c r="I34" s="2"/>
      <c r="J34" s="2"/>
      <c r="K34" s="2"/>
    </row>
    <row r="35" customFormat="false" ht="15" hidden="false" customHeight="true" outlineLevel="0" collapsed="false">
      <c r="A35" s="2"/>
      <c r="B35" s="7" t="s">
        <v>409</v>
      </c>
      <c r="C35" s="17" t="n">
        <f aca="false">Assumptions!$C$57-Assumptions!$C$60</f>
        <v>1640000</v>
      </c>
      <c r="D35" s="2"/>
      <c r="E35" s="2"/>
      <c r="F35" s="2"/>
      <c r="G35" s="2"/>
      <c r="H35" s="2"/>
      <c r="I35" s="2"/>
      <c r="J35" s="2"/>
      <c r="K35" s="2"/>
    </row>
    <row r="36" customFormat="false" ht="15" hidden="false" customHeight="true" outlineLevel="0" collapsed="false">
      <c r="A36" s="2"/>
      <c r="B36" s="7" t="s">
        <v>410</v>
      </c>
      <c r="C36" s="27" t="n">
        <f aca="false">CashFlow!J15</f>
        <v>504906.602444059</v>
      </c>
      <c r="D36" s="2"/>
      <c r="E36" s="4" t="s">
        <v>411</v>
      </c>
      <c r="F36" s="2"/>
      <c r="G36" s="2"/>
      <c r="H36" s="2"/>
      <c r="I36" s="2"/>
      <c r="J36" s="2"/>
      <c r="K36" s="2"/>
    </row>
    <row r="37" customFormat="false" ht="15" hidden="false" customHeight="true" outlineLevel="0" collapsed="false">
      <c r="A37" s="2"/>
      <c r="B37" s="7" t="s">
        <v>412</v>
      </c>
      <c r="C37" s="27" t="n">
        <f aca="false">SUM(CashFlow!E8:J8)</f>
        <v>9177319.0131217</v>
      </c>
      <c r="D37" s="2"/>
      <c r="E37" s="2"/>
      <c r="F37" s="2"/>
      <c r="G37" s="2"/>
      <c r="H37" s="2"/>
      <c r="I37" s="2"/>
      <c r="J37" s="2"/>
      <c r="K37" s="2"/>
    </row>
    <row r="38" customFormat="false" ht="15" hidden="false" customHeight="true" outlineLevel="0" collapsed="false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customFormat="false" ht="15" hidden="false" customHeight="tru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</sheetData>
  <mergeCells count="1">
    <mergeCell ref="B1:J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3C2E"/>
    <pageSetUpPr fitToPage="false"/>
  </sheetPr>
  <dimension ref="A1:K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6796875" defaultRowHeight="15" customHeight="fals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46"/>
    <col collapsed="false" customWidth="true" hidden="false" outlineLevel="0" max="10" min="3" style="1" width="13"/>
    <col collapsed="false" customWidth="true" hidden="false" outlineLevel="0" max="11" min="11" style="1" width="30"/>
  </cols>
  <sheetData>
    <row r="1" customFormat="false" ht="31.5" hidden="false" customHeight="true" outlineLevel="0" collapsed="false">
      <c r="A1" s="2"/>
      <c r="B1" s="3" t="s">
        <v>413</v>
      </c>
      <c r="C1" s="3"/>
      <c r="D1" s="3"/>
      <c r="E1" s="3"/>
      <c r="F1" s="3"/>
      <c r="G1" s="3"/>
      <c r="H1" s="3"/>
      <c r="I1" s="3"/>
      <c r="J1" s="3"/>
      <c r="K1" s="2"/>
    </row>
    <row r="2" customFormat="false" ht="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15" hidden="false" customHeight="true" outlineLevel="0" collapsed="false">
      <c r="A3" s="2"/>
      <c r="B3" s="5" t="s">
        <v>414</v>
      </c>
      <c r="C3" s="6"/>
      <c r="D3" s="6"/>
      <c r="E3" s="6"/>
      <c r="F3" s="6"/>
      <c r="G3" s="6"/>
      <c r="H3" s="6"/>
      <c r="I3" s="6"/>
      <c r="J3" s="6"/>
      <c r="K3" s="2"/>
    </row>
    <row r="4" customFormat="false" ht="15" hidden="false" customHeight="true" outlineLevel="0" collapsed="false">
      <c r="A4" s="2"/>
      <c r="B4" s="7" t="s">
        <v>415</v>
      </c>
      <c r="C4" s="27" t="n">
        <f aca="false">Assumptions!$C$60</f>
        <v>700000</v>
      </c>
      <c r="D4" s="2"/>
      <c r="E4" s="2"/>
      <c r="F4" s="2"/>
      <c r="G4" s="2"/>
      <c r="H4" s="2"/>
      <c r="I4" s="2"/>
      <c r="J4" s="2"/>
      <c r="K4" s="2"/>
    </row>
    <row r="5" customFormat="false" ht="15" hidden="false" customHeight="true" outlineLevel="0" collapsed="false">
      <c r="A5" s="2"/>
      <c r="B5" s="7" t="s">
        <v>416</v>
      </c>
      <c r="C5" s="31" t="n">
        <f aca="false">Assumptions!$C$60/(Assumptions!$C$13+Assumptions!$C$60)</f>
        <v>0.210843373493976</v>
      </c>
      <c r="D5" s="2"/>
      <c r="E5" s="2"/>
      <c r="F5" s="2"/>
      <c r="G5" s="2"/>
      <c r="H5" s="2"/>
      <c r="I5" s="2"/>
      <c r="J5" s="2"/>
      <c r="K5" s="2"/>
    </row>
    <row r="6" customFormat="false" ht="15" hidden="false" customHeight="true" outlineLevel="0" collapsed="false">
      <c r="A6" s="2"/>
      <c r="B6" s="7" t="s">
        <v>417</v>
      </c>
      <c r="C6" s="27" t="n">
        <f aca="false">CashFlow!J15</f>
        <v>504906.602444059</v>
      </c>
      <c r="D6" s="2"/>
      <c r="E6" s="2"/>
      <c r="F6" s="2"/>
      <c r="G6" s="2"/>
      <c r="H6" s="2"/>
      <c r="I6" s="2"/>
      <c r="J6" s="2"/>
      <c r="K6" s="2"/>
    </row>
    <row r="7" customFormat="false" ht="15" hidden="false" customHeight="true" outlineLevel="0" collapsed="false">
      <c r="A7" s="2"/>
      <c r="B7" s="7" t="s">
        <v>418</v>
      </c>
      <c r="C7" s="31" t="n">
        <f aca="false">IF(Assumptions!$C$61=0,0,C6/(Assumptions!$C$61*(1-Assumptions!$C$62)))</f>
        <v>0.0830438490861939</v>
      </c>
      <c r="D7" s="2"/>
      <c r="E7" s="2"/>
      <c r="F7" s="2"/>
      <c r="G7" s="2"/>
      <c r="H7" s="2"/>
      <c r="I7" s="2"/>
      <c r="J7" s="2"/>
      <c r="K7" s="2"/>
    </row>
    <row r="8" customFormat="false" ht="15" hidden="false" customHeight="true" outlineLevel="0" collapsed="false">
      <c r="A8" s="2"/>
      <c r="B8" s="15" t="s">
        <v>419</v>
      </c>
      <c r="C8" s="33" t="n">
        <f aca="false">C5*(1-C7)</f>
        <v>0.193334128204718</v>
      </c>
      <c r="D8" s="2"/>
      <c r="E8" s="2"/>
      <c r="F8" s="2"/>
      <c r="G8" s="2"/>
      <c r="H8" s="2"/>
      <c r="I8" s="2"/>
      <c r="J8" s="2"/>
      <c r="K8" s="2"/>
    </row>
    <row r="9" customFormat="false" ht="15" hidden="false" customHeight="true" outlineLevel="0" collapsed="false">
      <c r="A9" s="2"/>
      <c r="B9" s="7" t="s">
        <v>53</v>
      </c>
      <c r="C9" s="22" t="n">
        <f aca="false">Assumptions!$C$14</f>
        <v>0.5</v>
      </c>
      <c r="D9" s="2"/>
      <c r="E9" s="2"/>
      <c r="F9" s="2"/>
      <c r="G9" s="2"/>
      <c r="H9" s="2"/>
      <c r="I9" s="2"/>
      <c r="J9" s="2"/>
      <c r="K9" s="2"/>
    </row>
    <row r="10" customFormat="false" ht="15" hidden="false" customHeight="true" outlineLevel="0" collapsed="false">
      <c r="A10" s="2"/>
      <c r="B10" s="7" t="s">
        <v>55</v>
      </c>
      <c r="C10" s="26" t="n">
        <f aca="false">Assumptions!$C$15</f>
        <v>2030</v>
      </c>
      <c r="D10" s="2"/>
      <c r="E10" s="2"/>
      <c r="F10" s="2"/>
      <c r="G10" s="2"/>
      <c r="H10" s="2"/>
      <c r="I10" s="2"/>
      <c r="J10" s="2"/>
      <c r="K10" s="2"/>
    </row>
    <row r="11" customFormat="false" ht="15" hidden="false" customHeight="true" outlineLevel="0" collapsed="false">
      <c r="A11" s="2"/>
      <c r="B11" s="7" t="s">
        <v>420</v>
      </c>
      <c r="C11" s="34" t="n">
        <f aca="false">Assumptions!$C$12</f>
        <v>6</v>
      </c>
      <c r="D11" s="2"/>
      <c r="E11" s="2"/>
      <c r="F11" s="2"/>
      <c r="G11" s="2"/>
      <c r="H11" s="2"/>
      <c r="I11" s="2"/>
      <c r="J11" s="2"/>
      <c r="K11" s="2"/>
    </row>
    <row r="12" customFormat="false" ht="15" hidden="false" customHeight="true" outlineLevel="0" collapsed="false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customFormat="false" ht="15" hidden="false" customHeight="true" outlineLevel="0" collapsed="false">
      <c r="A13" s="2"/>
      <c r="B13" s="20"/>
      <c r="C13" s="21" t="n">
        <v>2026</v>
      </c>
      <c r="D13" s="21" t="n">
        <v>2027</v>
      </c>
      <c r="E13" s="21" t="n">
        <v>2028</v>
      </c>
      <c r="F13" s="21" t="n">
        <v>2029</v>
      </c>
      <c r="G13" s="21" t="n">
        <v>2030</v>
      </c>
      <c r="H13" s="21" t="n">
        <v>2031</v>
      </c>
      <c r="I13" s="21" t="n">
        <v>2032</v>
      </c>
      <c r="J13" s="21" t="n">
        <v>2033</v>
      </c>
      <c r="K13" s="2"/>
    </row>
    <row r="14" customFormat="false" ht="15" hidden="false" customHeight="true" outlineLevel="0" collapsed="false">
      <c r="A14" s="2"/>
      <c r="B14" s="7" t="s">
        <v>421</v>
      </c>
      <c r="C14" s="27" t="n">
        <f aca="false">PnL!C10</f>
        <v>-265364.533333333</v>
      </c>
      <c r="D14" s="27" t="n">
        <f aca="false">PnL!D10</f>
        <v>-364378.888939394</v>
      </c>
      <c r="E14" s="27" t="n">
        <f aca="false">PnL!E10</f>
        <v>247138.765514015</v>
      </c>
      <c r="F14" s="27" t="n">
        <f aca="false">PnL!F10</f>
        <v>858702.603617055</v>
      </c>
      <c r="G14" s="27" t="n">
        <f aca="false">PnL!G10</f>
        <v>1314201.73909659</v>
      </c>
      <c r="H14" s="27" t="n">
        <f aca="false">PnL!H10</f>
        <v>1564224.34961911</v>
      </c>
      <c r="I14" s="27" t="n">
        <f aca="false">PnL!I10</f>
        <v>1599529.28186603</v>
      </c>
      <c r="J14" s="27" t="n">
        <f aca="false">PnL!J10</f>
        <v>1635540.3127579</v>
      </c>
      <c r="K14" s="2"/>
    </row>
    <row r="15" customFormat="false" ht="15" hidden="false" customHeight="true" outlineLevel="0" collapsed="false">
      <c r="A15" s="2"/>
      <c r="B15" s="7" t="s">
        <v>422</v>
      </c>
      <c r="C15" s="17" t="n">
        <f aca="false">IF(AND(C$13&gt;=$C$10,PnL!C10&gt;0),$C$9*PnL!C10,0)</f>
        <v>0</v>
      </c>
      <c r="D15" s="17" t="n">
        <f aca="false">IF(AND(D$13&gt;=$C$10,PnL!D10&gt;0),$C$9*PnL!D10,0)</f>
        <v>0</v>
      </c>
      <c r="E15" s="17" t="n">
        <f aca="false">IF(AND(E$13&gt;=$C$10,PnL!E10&gt;0),$C$9*PnL!E10,0)</f>
        <v>0</v>
      </c>
      <c r="F15" s="17" t="n">
        <f aca="false">IF(AND(F$13&gt;=$C$10,PnL!F10&gt;0),$C$9*PnL!F10,0)</f>
        <v>0</v>
      </c>
      <c r="G15" s="17" t="n">
        <f aca="false">IF(AND(G$13&gt;=$C$10,PnL!G10&gt;0),$C$9*PnL!G10,0)</f>
        <v>657100.869548297</v>
      </c>
      <c r="H15" s="17" t="n">
        <f aca="false">IF(AND(H$13&gt;=$C$10,PnL!H10&gt;0),$C$9*PnL!H10,0)</f>
        <v>782112.174809553</v>
      </c>
      <c r="I15" s="17" t="n">
        <f aca="false">IF(AND(I$13&gt;=$C$10,PnL!I10&gt;0),$C$9*PnL!I10,0)</f>
        <v>799764.640933017</v>
      </c>
      <c r="J15" s="17" t="n">
        <f aca="false">IF(AND(J$13&gt;=$C$10,PnL!J10&gt;0),$C$9*PnL!J10,0)</f>
        <v>817770.156378949</v>
      </c>
      <c r="K15" s="2"/>
    </row>
    <row r="16" customFormat="false" ht="15" hidden="false" customHeight="true" outlineLevel="0" collapsed="false">
      <c r="A16" s="2"/>
      <c r="B16" s="7" t="s">
        <v>423</v>
      </c>
      <c r="C16" s="17" t="n">
        <f aca="false">C15*$C$8</f>
        <v>0</v>
      </c>
      <c r="D16" s="17" t="n">
        <f aca="false">D15*$C$8</f>
        <v>0</v>
      </c>
      <c r="E16" s="17" t="n">
        <f aca="false">E15*$C$8</f>
        <v>0</v>
      </c>
      <c r="F16" s="17" t="n">
        <f aca="false">F15*$C$8</f>
        <v>0</v>
      </c>
      <c r="G16" s="17" t="n">
        <f aca="false">G15*$C$8</f>
        <v>127040.023756682</v>
      </c>
      <c r="H16" s="17" t="n">
        <f aca="false">H15*$C$8</f>
        <v>151208.975475101</v>
      </c>
      <c r="I16" s="17" t="n">
        <f aca="false">I15*$C$8</f>
        <v>154621.799623744</v>
      </c>
      <c r="J16" s="17" t="n">
        <f aca="false">J15*$C$8</f>
        <v>158102.88025536</v>
      </c>
      <c r="K16" s="2"/>
    </row>
    <row r="17" customFormat="false" ht="15" hidden="false" customHeight="true" outlineLevel="0" collapsed="false">
      <c r="A17" s="2"/>
      <c r="B17" s="7" t="s">
        <v>424</v>
      </c>
      <c r="C17" s="17" t="n">
        <f aca="false">IF(C$13=2033,$C$8*PnL!C6*$C$11,0)</f>
        <v>0</v>
      </c>
      <c r="D17" s="17" t="n">
        <f aca="false">IF(D$13=2033,$C$8*PnL!D6*$C$11,0)</f>
        <v>0</v>
      </c>
      <c r="E17" s="17" t="n">
        <f aca="false">IF(E$13=2033,$C$8*PnL!E6*$C$11,0)</f>
        <v>0</v>
      </c>
      <c r="F17" s="17" t="n">
        <f aca="false">IF(F$13=2033,$C$8*PnL!F6*$C$11,0)</f>
        <v>0</v>
      </c>
      <c r="G17" s="17" t="n">
        <f aca="false">IF(G$13=2033,$C$8*PnL!G6*$C$11,0)</f>
        <v>0</v>
      </c>
      <c r="H17" s="17" t="n">
        <f aca="false">IF(H$13=2033,$C$8*PnL!H6*$C$11,0)</f>
        <v>0</v>
      </c>
      <c r="I17" s="17" t="n">
        <f aca="false">IF(I$13=2033,$C$8*PnL!I6*$C$11,0)</f>
        <v>0</v>
      </c>
      <c r="J17" s="17" t="n">
        <f aca="false">IF(J$13=2033,$C$8*PnL!J6*$C$11,0)</f>
        <v>2368852.60088249</v>
      </c>
      <c r="K17" s="2"/>
    </row>
    <row r="18" customFormat="false" ht="15" hidden="false" customHeight="true" outlineLevel="0" collapsed="false">
      <c r="A18" s="2"/>
      <c r="B18" s="7" t="s">
        <v>425</v>
      </c>
      <c r="C18" s="35" t="n">
        <f aca="false">IF(C$13=2026,-$C$4,0)+C16+C17</f>
        <v>-700000</v>
      </c>
      <c r="D18" s="35" t="n">
        <f aca="false">IF(D$13=2026,-$C$4,0)+D16+D17</f>
        <v>0</v>
      </c>
      <c r="E18" s="35" t="n">
        <f aca="false">IF(E$13=2026,-$C$4,0)+E16+E17</f>
        <v>0</v>
      </c>
      <c r="F18" s="35" t="n">
        <f aca="false">IF(F$13=2026,-$C$4,0)+F16+F17</f>
        <v>0</v>
      </c>
      <c r="G18" s="35" t="n">
        <f aca="false">IF(G$13=2026,-$C$4,0)+G16+G17</f>
        <v>127040.023756682</v>
      </c>
      <c r="H18" s="35" t="n">
        <f aca="false">IF(H$13=2026,-$C$4,0)+H16+H17</f>
        <v>151208.975475101</v>
      </c>
      <c r="I18" s="35" t="n">
        <f aca="false">IF(I$13=2026,-$C$4,0)+I16+I17</f>
        <v>154621.799623744</v>
      </c>
      <c r="J18" s="35" t="n">
        <f aca="false">IF(J$13=2026,-$C$4,0)+J16+J17</f>
        <v>2526955.48113785</v>
      </c>
      <c r="K18" s="2"/>
    </row>
    <row r="19" customFormat="false" ht="15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customFormat="false" ht="15" hidden="false" customHeight="true" outlineLevel="0" collapsed="false">
      <c r="A20" s="2"/>
      <c r="B20" s="5" t="s">
        <v>426</v>
      </c>
      <c r="C20" s="6"/>
      <c r="D20" s="6"/>
      <c r="E20" s="6"/>
      <c r="F20" s="6"/>
      <c r="G20" s="6"/>
      <c r="H20" s="6"/>
      <c r="I20" s="6"/>
      <c r="J20" s="6"/>
      <c r="K20" s="2"/>
    </row>
    <row r="21" customFormat="false" ht="15" hidden="false" customHeight="true" outlineLevel="0" collapsed="false">
      <c r="A21" s="2"/>
      <c r="B21" s="7" t="s">
        <v>427</v>
      </c>
      <c r="C21" s="17" t="n">
        <f aca="false">SUM(C16:J16)</f>
        <v>590973.679110888</v>
      </c>
      <c r="D21" s="2"/>
      <c r="E21" s="2"/>
      <c r="F21" s="2"/>
      <c r="G21" s="2"/>
      <c r="H21" s="2"/>
      <c r="I21" s="2"/>
      <c r="J21" s="2"/>
      <c r="K21" s="2"/>
    </row>
    <row r="22" customFormat="false" ht="15" hidden="false" customHeight="true" outlineLevel="0" collapsed="false">
      <c r="A22" s="2"/>
      <c r="B22" s="7" t="s">
        <v>428</v>
      </c>
      <c r="C22" s="17" t="n">
        <f aca="false">SUM(C17:J17)</f>
        <v>2368852.60088249</v>
      </c>
      <c r="D22" s="2"/>
      <c r="E22" s="2"/>
      <c r="F22" s="2"/>
      <c r="G22" s="2"/>
      <c r="H22" s="2"/>
      <c r="I22" s="2"/>
      <c r="J22" s="2"/>
      <c r="K22" s="2"/>
    </row>
    <row r="23" customFormat="false" ht="15" hidden="false" customHeight="true" outlineLevel="0" collapsed="false">
      <c r="A23" s="2"/>
      <c r="B23" s="15" t="s">
        <v>429</v>
      </c>
      <c r="C23" s="24" t="n">
        <f aca="false">C21+C22</f>
        <v>2959826.27999338</v>
      </c>
      <c r="D23" s="2"/>
      <c r="E23" s="2"/>
      <c r="F23" s="2"/>
      <c r="G23" s="2"/>
      <c r="H23" s="2"/>
      <c r="I23" s="2"/>
      <c r="J23" s="2"/>
      <c r="K23" s="2"/>
    </row>
    <row r="24" customFormat="false" ht="16.5" hidden="false" customHeight="true" outlineLevel="0" collapsed="false">
      <c r="A24" s="2"/>
      <c r="B24" s="15" t="s">
        <v>430</v>
      </c>
      <c r="C24" s="36" t="n">
        <f aca="false">C23/C4</f>
        <v>4.2283232571334</v>
      </c>
      <c r="D24" s="2"/>
      <c r="E24" s="2"/>
      <c r="F24" s="2"/>
      <c r="G24" s="2"/>
      <c r="H24" s="2"/>
      <c r="I24" s="2"/>
      <c r="J24" s="2"/>
      <c r="K24" s="2"/>
    </row>
    <row r="25" customFormat="false" ht="16.5" hidden="false" customHeight="true" outlineLevel="0" collapsed="false">
      <c r="A25" s="2"/>
      <c r="B25" s="15" t="s">
        <v>431</v>
      </c>
      <c r="C25" s="9" t="n">
        <f aca="false">IRR(C18:J18)</f>
        <v>0.242264953430537</v>
      </c>
      <c r="D25" s="2"/>
      <c r="E25" s="2"/>
      <c r="F25" s="2"/>
      <c r="G25" s="2"/>
      <c r="H25" s="2"/>
      <c r="I25" s="2"/>
      <c r="J25" s="2"/>
      <c r="K25" s="2"/>
    </row>
    <row r="26" customFormat="false" ht="15" hidden="false" customHeight="tru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customFormat="false" ht="15" hidden="false" customHeight="true" outlineLevel="0" collapsed="false">
      <c r="A27" s="2"/>
      <c r="B27" s="4" t="s">
        <v>432</v>
      </c>
      <c r="C27" s="2"/>
      <c r="D27" s="2"/>
      <c r="E27" s="2"/>
      <c r="F27" s="2"/>
      <c r="G27" s="2"/>
      <c r="H27" s="2"/>
      <c r="I27" s="2"/>
      <c r="J27" s="2"/>
      <c r="K27" s="2"/>
    </row>
    <row r="28" customFormat="false" ht="15" hidden="false" customHeight="true" outlineLevel="0" collapsed="false">
      <c r="A28" s="2"/>
      <c r="B28" s="4" t="s">
        <v>433</v>
      </c>
      <c r="C28" s="2"/>
      <c r="D28" s="2"/>
      <c r="E28" s="2"/>
      <c r="F28" s="2"/>
      <c r="G28" s="2"/>
      <c r="H28" s="2"/>
      <c r="I28" s="2"/>
      <c r="J28" s="2"/>
      <c r="K28" s="2"/>
    </row>
    <row r="29" customFormat="false" ht="15" hidden="false" customHeight="tru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customFormat="false" ht="15" hidden="false" customHeight="tru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</sheetData>
  <mergeCells count="1">
    <mergeCell ref="B1:J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3C2E"/>
    <pageSetUpPr fitToPage="false"/>
  </sheetPr>
  <dimension ref="A1:K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6796875" defaultRowHeight="15" customHeight="fals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44"/>
    <col collapsed="false" customWidth="true" hidden="false" outlineLevel="0" max="3" min="3" style="1" width="16"/>
    <col collapsed="false" customWidth="true" hidden="false" outlineLevel="0" max="4" min="4" style="1" width="13"/>
    <col collapsed="false" customWidth="true" hidden="false" outlineLevel="0" max="5" min="5" style="1" width="44"/>
    <col collapsed="false" customWidth="true" hidden="false" outlineLevel="0" max="10" min="6" style="1" width="13"/>
    <col collapsed="false" customWidth="true" hidden="false" outlineLevel="0" max="11" min="11" style="1" width="30"/>
  </cols>
  <sheetData>
    <row r="1" customFormat="false" ht="31.5" hidden="false" customHeight="true" outlineLevel="0" collapsed="false">
      <c r="A1" s="2"/>
      <c r="B1" s="3" t="s">
        <v>434</v>
      </c>
      <c r="C1" s="3"/>
      <c r="D1" s="3"/>
      <c r="E1" s="3"/>
      <c r="F1" s="3"/>
      <c r="G1" s="3"/>
      <c r="H1" s="3"/>
      <c r="I1" s="3"/>
      <c r="J1" s="3"/>
      <c r="K1" s="2"/>
    </row>
    <row r="2" customFormat="false" ht="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15" hidden="false" customHeight="true" outlineLevel="0" collapsed="false">
      <c r="A3" s="2"/>
      <c r="B3" s="5" t="s">
        <v>435</v>
      </c>
      <c r="C3" s="6"/>
      <c r="D3" s="6"/>
      <c r="E3" s="6"/>
      <c r="F3" s="6"/>
      <c r="G3" s="6"/>
      <c r="H3" s="6"/>
      <c r="I3" s="6"/>
      <c r="J3" s="6"/>
      <c r="K3" s="2"/>
    </row>
    <row r="4" customFormat="false" ht="15" hidden="false" customHeight="true" outlineLevel="0" collapsed="false">
      <c r="A4" s="2"/>
      <c r="B4" s="7" t="s">
        <v>436</v>
      </c>
      <c r="C4" s="27" t="n">
        <f aca="false">Assumptions!$C$56</f>
        <v>2617268</v>
      </c>
      <c r="D4" s="2"/>
      <c r="E4" s="2"/>
      <c r="F4" s="2"/>
      <c r="G4" s="2"/>
      <c r="H4" s="2"/>
      <c r="I4" s="2"/>
      <c r="J4" s="2"/>
      <c r="K4" s="2"/>
    </row>
    <row r="5" customFormat="false" ht="15" hidden="false" customHeight="true" outlineLevel="0" collapsed="false">
      <c r="A5" s="2"/>
      <c r="B5" s="7" t="s">
        <v>437</v>
      </c>
      <c r="C5" s="13" t="n">
        <v>1200</v>
      </c>
      <c r="D5" s="2"/>
      <c r="E5" s="2"/>
      <c r="F5" s="2"/>
      <c r="G5" s="2"/>
      <c r="H5" s="2"/>
      <c r="I5" s="2"/>
      <c r="J5" s="2"/>
      <c r="K5" s="2"/>
    </row>
    <row r="6" customFormat="false" ht="15" hidden="false" customHeight="true" outlineLevel="0" collapsed="false">
      <c r="A6" s="2"/>
      <c r="B6" s="7" t="s">
        <v>438</v>
      </c>
      <c r="C6" s="13" t="n">
        <v>1800</v>
      </c>
      <c r="D6" s="2"/>
      <c r="E6" s="2"/>
      <c r="F6" s="2"/>
      <c r="G6" s="2"/>
      <c r="H6" s="2"/>
      <c r="I6" s="2"/>
      <c r="J6" s="2"/>
      <c r="K6" s="2"/>
    </row>
    <row r="7" customFormat="false" ht="15" hidden="false" customHeight="true" outlineLevel="0" collapsed="false">
      <c r="A7" s="2"/>
      <c r="B7" s="15" t="s">
        <v>439</v>
      </c>
      <c r="C7" s="32" t="n">
        <f aca="false">Assumptions!$C$29*C5+Assumptions!$C$30*C6</f>
        <v>4581600</v>
      </c>
      <c r="D7" s="2"/>
      <c r="E7" s="2"/>
      <c r="F7" s="2"/>
      <c r="G7" s="2"/>
      <c r="H7" s="2"/>
      <c r="I7" s="2"/>
      <c r="J7" s="2"/>
      <c r="K7" s="2"/>
    </row>
    <row r="8" customFormat="false" ht="15" hidden="false" customHeight="true" outlineLevel="0" collapsed="false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customFormat="false" ht="15" hidden="false" customHeight="true" outlineLevel="0" collapsed="false">
      <c r="A9" s="2"/>
      <c r="B9" s="5" t="s">
        <v>440</v>
      </c>
      <c r="C9" s="6"/>
      <c r="D9" s="6"/>
      <c r="E9" s="6"/>
      <c r="F9" s="6"/>
      <c r="G9" s="6"/>
      <c r="H9" s="6"/>
      <c r="I9" s="6"/>
      <c r="J9" s="6"/>
      <c r="K9" s="2"/>
    </row>
    <row r="10" customFormat="false" ht="15" hidden="false" customHeight="true" outlineLevel="0" collapsed="false">
      <c r="A10" s="2"/>
      <c r="B10" s="20"/>
      <c r="C10" s="21" t="n">
        <v>2026</v>
      </c>
      <c r="D10" s="21" t="n">
        <v>2027</v>
      </c>
      <c r="E10" s="21" t="n">
        <v>2028</v>
      </c>
      <c r="F10" s="21" t="n">
        <v>2029</v>
      </c>
      <c r="G10" s="21" t="n">
        <v>2030</v>
      </c>
      <c r="H10" s="21" t="n">
        <v>2031</v>
      </c>
      <c r="I10" s="21" t="n">
        <v>2032</v>
      </c>
      <c r="J10" s="21" t="n">
        <v>2033</v>
      </c>
      <c r="K10" s="2"/>
    </row>
    <row r="11" customFormat="false" ht="15" hidden="false" customHeight="true" outlineLevel="0" collapsed="false">
      <c r="A11" s="2"/>
      <c r="B11" s="7" t="s">
        <v>441</v>
      </c>
      <c r="C11" s="17" t="n">
        <f aca="false">PnL!C6-PnL!C9-CapEx!C6</f>
        <v>-342880</v>
      </c>
      <c r="D11" s="17" t="n">
        <f aca="false">PnL!D6-PnL!D9-CapEx!D6</f>
        <v>-769227.688939394</v>
      </c>
      <c r="E11" s="17" t="n">
        <f aca="false">PnL!E6-PnL!E9-CapEx!E6</f>
        <v>-115043.367819318</v>
      </c>
      <c r="F11" s="17" t="n">
        <f aca="false">PnL!F6-PnL!F9-CapEx!F6</f>
        <v>448187.136950388</v>
      </c>
      <c r="G11" s="17" t="n">
        <f aca="false">PnL!G6-PnL!G9-CapEx!G6</f>
        <v>1634686.27242993</v>
      </c>
      <c r="H11" s="17" t="n">
        <f aca="false">PnL!H6-PnL!H9-CapEx!H6</f>
        <v>1793708.88295244</v>
      </c>
      <c r="I11" s="17" t="n">
        <f aca="false">PnL!I6-PnL!I9-CapEx!I6</f>
        <v>1920013.81519937</v>
      </c>
      <c r="J11" s="17" t="n">
        <f aca="false">PnL!J6-PnL!J9-CapEx!J6</f>
        <v>1865024.84609123</v>
      </c>
      <c r="K11" s="2"/>
    </row>
    <row r="12" customFormat="false" ht="15" hidden="false" customHeight="true" outlineLevel="0" collapsed="false">
      <c r="A12" s="2"/>
      <c r="B12" s="7" t="s">
        <v>442</v>
      </c>
      <c r="C12" s="17" t="n">
        <f aca="false">C11/(1+Assumptions!$C$9)^(C$10-2025)</f>
        <v>-306142.857142857</v>
      </c>
      <c r="D12" s="17" t="n">
        <f aca="false">D11/(1+Assumptions!$C$9)^(D$10-2025)</f>
        <v>-613223.604065206</v>
      </c>
      <c r="E12" s="17" t="n">
        <f aca="false">E11/(1+Assumptions!$C$9)^(E$10-2025)</f>
        <v>-81885.5968557237</v>
      </c>
      <c r="F12" s="17" t="n">
        <f aca="false">F11/(1+Assumptions!$C$9)^(F$10-2025)</f>
        <v>284831.028040474</v>
      </c>
      <c r="G12" s="17" t="n">
        <f aca="false">G11/(1+Assumptions!$C$9)^(G$10-2025)</f>
        <v>927564.89165127</v>
      </c>
      <c r="H12" s="17" t="n">
        <f aca="false">H11/(1+Assumptions!$C$9)^(H$10-2025)</f>
        <v>908748.742435913</v>
      </c>
      <c r="I12" s="17" t="n">
        <f aca="false">I11/(1+Assumptions!$C$9)^(I$10-2025)</f>
        <v>868516.742741428</v>
      </c>
      <c r="J12" s="17" t="n">
        <f aca="false">J11/(1+Assumptions!$C$9)^(J$10-2025)</f>
        <v>753252.255101053</v>
      </c>
      <c r="K12" s="2"/>
    </row>
    <row r="13" customFormat="false" ht="15" hidden="false" customHeight="true" outlineLevel="0" collapsed="false">
      <c r="A13" s="2"/>
      <c r="B13" s="7" t="s">
        <v>443</v>
      </c>
      <c r="C13" s="34" t="n">
        <f aca="false">Assumptions!$C$12</f>
        <v>6</v>
      </c>
      <c r="D13" s="2"/>
      <c r="E13" s="2"/>
      <c r="F13" s="2"/>
      <c r="G13" s="2"/>
      <c r="H13" s="2"/>
      <c r="I13" s="2"/>
      <c r="J13" s="2"/>
      <c r="K13" s="2"/>
    </row>
    <row r="14" customFormat="false" ht="15" hidden="false" customHeight="true" outlineLevel="0" collapsed="false">
      <c r="A14" s="2"/>
      <c r="B14" s="15" t="s">
        <v>9</v>
      </c>
      <c r="C14" s="24" t="n">
        <f aca="false">SUM(C12:J12)+(PnL!J6*C13)/(1+Assumptions!$C$9)^(J$10-2025)</f>
        <v>7690295.57530742</v>
      </c>
      <c r="D14" s="2"/>
      <c r="E14" s="2"/>
      <c r="F14" s="2"/>
      <c r="G14" s="2"/>
      <c r="H14" s="2"/>
      <c r="I14" s="2"/>
      <c r="J14" s="2"/>
      <c r="K14" s="2"/>
    </row>
    <row r="15" customFormat="false" ht="15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customFormat="false" ht="15" hidden="false" customHeight="true" outlineLevel="0" collapsed="false">
      <c r="A16" s="2"/>
      <c r="B16" s="5" t="s">
        <v>444</v>
      </c>
      <c r="C16" s="6"/>
      <c r="D16" s="6"/>
      <c r="E16" s="6"/>
      <c r="F16" s="6"/>
      <c r="G16" s="6"/>
      <c r="H16" s="6"/>
      <c r="I16" s="6"/>
      <c r="J16" s="6"/>
      <c r="K16" s="2"/>
    </row>
    <row r="17" customFormat="false" ht="15" hidden="false" customHeight="true" outlineLevel="0" collapsed="false">
      <c r="A17" s="2"/>
      <c r="B17" s="7" t="s">
        <v>445</v>
      </c>
      <c r="C17" s="27" t="n">
        <f aca="false">PnL!H6</f>
        <v>1967036.48030081</v>
      </c>
      <c r="D17" s="2"/>
      <c r="E17" s="2"/>
      <c r="F17" s="2"/>
      <c r="G17" s="2"/>
      <c r="H17" s="2"/>
      <c r="I17" s="2"/>
      <c r="J17" s="2"/>
      <c r="K17" s="2"/>
    </row>
    <row r="18" customFormat="false" ht="15" hidden="false" customHeight="true" outlineLevel="0" collapsed="false">
      <c r="A18" s="2"/>
      <c r="B18" s="7" t="s">
        <v>446</v>
      </c>
      <c r="C18" s="17" t="n">
        <f aca="false">C17*4</f>
        <v>7868145.92120325</v>
      </c>
      <c r="D18" s="2"/>
      <c r="E18" s="2"/>
      <c r="F18" s="2"/>
      <c r="G18" s="2"/>
      <c r="H18" s="2"/>
      <c r="I18" s="2"/>
      <c r="J18" s="2"/>
      <c r="K18" s="2"/>
    </row>
    <row r="19" customFormat="false" ht="15" hidden="false" customHeight="true" outlineLevel="0" collapsed="false">
      <c r="A19" s="2"/>
      <c r="B19" s="7" t="s">
        <v>447</v>
      </c>
      <c r="C19" s="17" t="n">
        <f aca="false">C17*7</f>
        <v>13769255.3621057</v>
      </c>
      <c r="D19" s="2"/>
      <c r="E19" s="2"/>
      <c r="F19" s="2"/>
      <c r="G19" s="2"/>
      <c r="H19" s="2"/>
      <c r="I19" s="2"/>
      <c r="J19" s="2"/>
      <c r="K19" s="2"/>
    </row>
    <row r="20" customFormat="false" ht="15" hidden="false" customHeight="true" outlineLevel="0" collapsed="false">
      <c r="A20" s="2"/>
      <c r="B20" s="7" t="s">
        <v>448</v>
      </c>
      <c r="C20" s="17" t="n">
        <f aca="false">C17/Assumptions!$C$10</f>
        <v>18733680.7647696</v>
      </c>
      <c r="D20" s="2"/>
      <c r="E20" s="2"/>
      <c r="F20" s="2"/>
      <c r="G20" s="2"/>
      <c r="H20" s="2"/>
      <c r="I20" s="2"/>
      <c r="J20" s="2"/>
      <c r="K20" s="2"/>
    </row>
    <row r="21" customFormat="false" ht="15" hidden="false" customHeight="true" outlineLevel="0" collapsed="false">
      <c r="A21" s="2"/>
      <c r="B21" s="5" t="s">
        <v>449</v>
      </c>
      <c r="C21" s="6"/>
      <c r="D21" s="6"/>
      <c r="E21" s="6"/>
      <c r="F21" s="6"/>
      <c r="G21" s="6"/>
      <c r="H21" s="6"/>
      <c r="I21" s="6"/>
      <c r="J21" s="6"/>
      <c r="K21" s="2"/>
    </row>
    <row r="22" customFormat="false" ht="15" hidden="false" customHeight="true" outlineLevel="0" collapsed="false">
      <c r="A22" s="2"/>
      <c r="B22" s="15" t="s">
        <v>450</v>
      </c>
      <c r="C22" s="32" t="n">
        <f aca="false">C17*Assumptions!$C$12</f>
        <v>11802218.8818049</v>
      </c>
      <c r="D22" s="2"/>
      <c r="E22" s="4" t="s">
        <v>451</v>
      </c>
      <c r="F22" s="2"/>
      <c r="G22" s="2"/>
      <c r="H22" s="2"/>
      <c r="I22" s="2"/>
      <c r="J22" s="2"/>
      <c r="K22" s="2"/>
    </row>
    <row r="23" customFormat="false" ht="15" hidden="false" customHeight="true" outlineLevel="0" collapsed="false">
      <c r="A23" s="2"/>
      <c r="B23" s="7" t="s">
        <v>452</v>
      </c>
      <c r="C23" s="7" t="s">
        <v>453</v>
      </c>
      <c r="D23" s="2"/>
      <c r="E23" s="4" t="s">
        <v>454</v>
      </c>
      <c r="F23" s="2"/>
      <c r="G23" s="2"/>
      <c r="H23" s="2"/>
      <c r="I23" s="2"/>
      <c r="J23" s="2"/>
      <c r="K23" s="2"/>
    </row>
    <row r="24" customFormat="false" ht="15" hidden="false" customHeight="tru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customFormat="false" ht="15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</sheetData>
  <mergeCells count="1">
    <mergeCell ref="B1:J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3C2E"/>
    <pageSetUpPr fitToPage="false"/>
  </sheetPr>
  <dimension ref="A1:K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6796875" defaultRowHeight="15" customHeight="fals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44"/>
    <col collapsed="false" customWidth="true" hidden="false" outlineLevel="0" max="5" min="3" style="1" width="15"/>
    <col collapsed="false" customWidth="true" hidden="false" outlineLevel="0" max="10" min="6" style="1" width="13"/>
    <col collapsed="false" customWidth="true" hidden="false" outlineLevel="0" max="11" min="11" style="1" width="30"/>
  </cols>
  <sheetData>
    <row r="1" customFormat="false" ht="31.5" hidden="false" customHeight="true" outlineLevel="0" collapsed="false">
      <c r="A1" s="2"/>
      <c r="B1" s="3" t="s">
        <v>455</v>
      </c>
      <c r="C1" s="3"/>
      <c r="D1" s="3"/>
      <c r="E1" s="3"/>
      <c r="F1" s="3"/>
      <c r="G1" s="3"/>
      <c r="H1" s="3"/>
      <c r="I1" s="3"/>
      <c r="J1" s="3"/>
      <c r="K1" s="2"/>
    </row>
    <row r="2" customFormat="false" ht="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15" hidden="false" customHeight="true" outlineLevel="0" collapsed="false">
      <c r="A3" s="2"/>
      <c r="B3" s="5" t="s">
        <v>456</v>
      </c>
      <c r="C3" s="6"/>
      <c r="D3" s="6"/>
      <c r="E3" s="6"/>
      <c r="F3" s="6"/>
      <c r="G3" s="6"/>
      <c r="H3" s="6"/>
      <c r="I3" s="6"/>
      <c r="J3" s="6"/>
      <c r="K3" s="2"/>
    </row>
    <row r="4" customFormat="false" ht="15" hidden="false" customHeight="true" outlineLevel="0" collapsed="false">
      <c r="A4" s="2"/>
      <c r="B4" s="7" t="s">
        <v>457</v>
      </c>
      <c r="C4" s="11" t="n">
        <v>0.7</v>
      </c>
      <c r="D4" s="2"/>
      <c r="E4" s="2"/>
      <c r="F4" s="2"/>
      <c r="G4" s="2"/>
      <c r="H4" s="2"/>
      <c r="I4" s="2"/>
      <c r="J4" s="2"/>
      <c r="K4" s="2"/>
    </row>
    <row r="5" customFormat="false" ht="15" hidden="false" customHeight="true" outlineLevel="0" collapsed="false">
      <c r="A5" s="2"/>
      <c r="B5" s="7" t="s">
        <v>458</v>
      </c>
      <c r="C5" s="11" t="n">
        <v>0.85</v>
      </c>
      <c r="D5" s="2"/>
      <c r="E5" s="2"/>
      <c r="F5" s="2"/>
      <c r="G5" s="2"/>
      <c r="H5" s="2"/>
      <c r="I5" s="2"/>
      <c r="J5" s="2"/>
      <c r="K5" s="2"/>
    </row>
    <row r="6" customFormat="false" ht="15" hidden="false" customHeight="true" outlineLevel="0" collapsed="false">
      <c r="A6" s="2"/>
      <c r="B6" s="7" t="s">
        <v>459</v>
      </c>
      <c r="C6" s="11" t="n">
        <v>1.15</v>
      </c>
      <c r="D6" s="2"/>
      <c r="E6" s="2"/>
      <c r="F6" s="2"/>
      <c r="G6" s="2"/>
      <c r="H6" s="2"/>
      <c r="I6" s="2"/>
      <c r="J6" s="2"/>
      <c r="K6" s="2"/>
    </row>
    <row r="7" customFormat="false" ht="15" hidden="false" customHeight="true" outlineLevel="0" collapsed="false">
      <c r="A7" s="2"/>
      <c r="B7" s="7" t="s">
        <v>460</v>
      </c>
      <c r="C7" s="11" t="n">
        <v>1.18</v>
      </c>
      <c r="D7" s="2"/>
      <c r="E7" s="2"/>
      <c r="F7" s="2"/>
      <c r="G7" s="2"/>
      <c r="H7" s="2"/>
      <c r="I7" s="2"/>
      <c r="J7" s="2"/>
      <c r="K7" s="2"/>
    </row>
    <row r="8" customFormat="false" ht="15" hidden="false" customHeight="true" outlineLevel="0" collapsed="false">
      <c r="A8" s="2"/>
      <c r="B8" s="7" t="s">
        <v>461</v>
      </c>
      <c r="C8" s="13" t="n">
        <v>150000</v>
      </c>
      <c r="D8" s="2"/>
      <c r="E8" s="2"/>
      <c r="F8" s="2"/>
      <c r="G8" s="2"/>
      <c r="H8" s="2"/>
      <c r="I8" s="2"/>
      <c r="J8" s="2"/>
      <c r="K8" s="2"/>
    </row>
    <row r="9" customFormat="false" ht="15" hidden="false" customHeight="true" outlineLevel="0" collapsed="false">
      <c r="A9" s="2"/>
      <c r="B9" s="7" t="s">
        <v>462</v>
      </c>
      <c r="C9" s="11" t="n">
        <v>1</v>
      </c>
      <c r="D9" s="2"/>
      <c r="E9" s="2"/>
      <c r="F9" s="2"/>
      <c r="G9" s="2"/>
      <c r="H9" s="2"/>
      <c r="I9" s="2"/>
      <c r="J9" s="2"/>
      <c r="K9" s="2"/>
    </row>
    <row r="10" customFormat="false" ht="15" hidden="false" customHeight="true" outlineLevel="0" collapsed="false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customFormat="false" ht="15" hidden="false" customHeight="true" outlineLevel="0" collapsed="false">
      <c r="A11" s="2"/>
      <c r="B11" s="37"/>
      <c r="C11" s="37" t="s">
        <v>463</v>
      </c>
      <c r="D11" s="37" t="s">
        <v>464</v>
      </c>
      <c r="E11" s="37" t="s">
        <v>465</v>
      </c>
      <c r="F11" s="2"/>
      <c r="G11" s="2"/>
      <c r="H11" s="2"/>
      <c r="I11" s="2"/>
      <c r="J11" s="2"/>
      <c r="K11" s="2"/>
    </row>
    <row r="12" customFormat="false" ht="15" hidden="false" customHeight="true" outlineLevel="0" collapsed="false">
      <c r="A12" s="2"/>
      <c r="B12" s="7" t="s">
        <v>466</v>
      </c>
      <c r="C12" s="17" t="n">
        <f aca="false">Revenue!H11</f>
        <v>4742417.68985884</v>
      </c>
      <c r="D12" s="17" t="n">
        <f aca="false">Revenue!H5*C4*C5+(Revenue!H7+Revenue!H8)*C4+Revenue!H9+Revenue!H10</f>
        <v>3138820.52546601</v>
      </c>
      <c r="E12" s="17" t="n">
        <f aca="false">Revenue!H5*C7+(Revenue!H7+Revenue!H8)*C7+Revenue!H9+Revenue!H10+C8</f>
        <v>5710052.87403343</v>
      </c>
      <c r="F12" s="2"/>
      <c r="G12" s="2"/>
      <c r="H12" s="2"/>
      <c r="I12" s="2"/>
      <c r="J12" s="2"/>
      <c r="K12" s="2"/>
    </row>
    <row r="13" customFormat="false" ht="15" hidden="false" customHeight="true" outlineLevel="0" collapsed="false">
      <c r="A13" s="2"/>
      <c r="B13" s="7" t="s">
        <v>467</v>
      </c>
      <c r="C13" s="17" t="n">
        <f aca="false">CostToServe!H20</f>
        <v>2775381.20955803</v>
      </c>
      <c r="D13" s="17" t="n">
        <f aca="false">(SUM(CostToServe!H5:H14)+SUM(CostToServe!H15:H19)*(D12/Revenue!H11))*C6</f>
        <v>2407838.69664144</v>
      </c>
      <c r="E13" s="17" t="n">
        <f aca="false">(SUM(CostToServe!H5:H14)+SUM(CostToServe!H15:H19)*(E12/Revenue!H11))*C9</f>
        <v>3186674.21581734</v>
      </c>
      <c r="F13" s="2"/>
      <c r="G13" s="2"/>
      <c r="H13" s="2"/>
      <c r="I13" s="2"/>
      <c r="J13" s="2"/>
      <c r="K13" s="2"/>
    </row>
    <row r="14" customFormat="false" ht="15" hidden="false" customHeight="true" outlineLevel="0" collapsed="false">
      <c r="A14" s="2"/>
      <c r="B14" s="15" t="s">
        <v>350</v>
      </c>
      <c r="C14" s="32" t="n">
        <f aca="false">C12-C13</f>
        <v>1967036.48030081</v>
      </c>
      <c r="D14" s="32" t="n">
        <f aca="false">D12-D13</f>
        <v>730981.828824566</v>
      </c>
      <c r="E14" s="32" t="n">
        <f aca="false">E12-E13</f>
        <v>2523378.65821609</v>
      </c>
      <c r="F14" s="2"/>
      <c r="G14" s="2"/>
      <c r="H14" s="2"/>
      <c r="I14" s="2"/>
      <c r="J14" s="2"/>
      <c r="K14" s="2"/>
    </row>
    <row r="15" customFormat="false" ht="15" hidden="false" customHeight="true" outlineLevel="0" collapsed="false">
      <c r="A15" s="2"/>
      <c r="B15" s="7" t="s">
        <v>8</v>
      </c>
      <c r="C15" s="31" t="n">
        <f aca="false">IF(C12=0,0,C14/C12)</f>
        <v>0.414775038585722</v>
      </c>
      <c r="D15" s="31" t="n">
        <f aca="false">IF(D12=0,0,D14/D12)</f>
        <v>0.232884238806881</v>
      </c>
      <c r="E15" s="31" t="n">
        <f aca="false">IF(E12=0,0,E14/E12)</f>
        <v>0.441918615095703</v>
      </c>
      <c r="F15" s="2"/>
      <c r="G15" s="2"/>
      <c r="H15" s="2"/>
      <c r="I15" s="2"/>
      <c r="J15" s="2"/>
      <c r="K15" s="2"/>
    </row>
    <row r="16" customFormat="false" ht="15" hidden="false" customHeight="tru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customFormat="false" ht="15" hidden="false" customHeight="true" outlineLevel="0" collapsed="false">
      <c r="A17" s="2"/>
      <c r="B17" s="5" t="s">
        <v>468</v>
      </c>
      <c r="C17" s="6"/>
      <c r="D17" s="6"/>
      <c r="E17" s="6"/>
      <c r="F17" s="2"/>
      <c r="G17" s="2"/>
      <c r="H17" s="2"/>
      <c r="I17" s="2"/>
      <c r="J17" s="2"/>
      <c r="K17" s="2"/>
    </row>
    <row r="18" customFormat="false" ht="15" hidden="false" customHeight="true" outlineLevel="0" collapsed="false">
      <c r="A18" s="2"/>
      <c r="B18" s="7" t="s">
        <v>469</v>
      </c>
      <c r="C18" s="17" t="n">
        <f aca="false">-SUM(CostToServe!H5:H14)</f>
        <v>-759618.181818182</v>
      </c>
      <c r="D18" s="2"/>
      <c r="E18" s="2"/>
      <c r="F18" s="2"/>
      <c r="G18" s="2"/>
      <c r="H18" s="2"/>
      <c r="I18" s="2"/>
      <c r="J18" s="2"/>
      <c r="K18" s="2"/>
    </row>
    <row r="19" customFormat="false" ht="15" hidden="false" customHeight="true" outlineLevel="0" collapsed="false">
      <c r="A19" s="2"/>
      <c r="B19" s="4" t="s">
        <v>470</v>
      </c>
      <c r="C19" s="2"/>
      <c r="D19" s="2"/>
      <c r="E19" s="2"/>
      <c r="F19" s="2"/>
      <c r="G19" s="2"/>
      <c r="H19" s="2"/>
      <c r="I19" s="2"/>
      <c r="J19" s="2"/>
      <c r="K19" s="2"/>
    </row>
    <row r="20" customFormat="false" ht="15" hidden="false" customHeight="tru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customFormat="false" ht="15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</sheetData>
  <mergeCells count="1">
    <mergeCell ref="B1:J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3C2E"/>
    <pageSetUpPr fitToPage="false"/>
  </sheetPr>
  <dimension ref="A1:K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6796875" defaultRowHeight="15" customHeight="fals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44"/>
    <col collapsed="false" customWidth="true" hidden="false" outlineLevel="0" max="4" min="3" style="1" width="16"/>
    <col collapsed="false" customWidth="true" hidden="false" outlineLevel="0" max="5" min="5" style="1" width="10"/>
    <col collapsed="false" customWidth="true" hidden="false" outlineLevel="0" max="10" min="6" style="1" width="13"/>
    <col collapsed="false" customWidth="true" hidden="false" outlineLevel="0" max="11" min="11" style="1" width="30"/>
  </cols>
  <sheetData>
    <row r="1" customFormat="false" ht="31.5" hidden="false" customHeight="true" outlineLevel="0" collapsed="false">
      <c r="A1" s="2"/>
      <c r="B1" s="3" t="s">
        <v>471</v>
      </c>
      <c r="C1" s="3"/>
      <c r="D1" s="3"/>
      <c r="E1" s="3"/>
      <c r="F1" s="3"/>
      <c r="G1" s="3"/>
      <c r="H1" s="3"/>
      <c r="I1" s="3"/>
      <c r="J1" s="3"/>
      <c r="K1" s="2"/>
    </row>
    <row r="2" customFormat="false" ht="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15" hidden="false" customHeight="true" outlineLevel="0" collapsed="false">
      <c r="A3" s="2"/>
      <c r="B3" s="37" t="s">
        <v>472</v>
      </c>
      <c r="C3" s="37" t="s">
        <v>473</v>
      </c>
      <c r="D3" s="37" t="s">
        <v>474</v>
      </c>
      <c r="E3" s="37" t="s">
        <v>475</v>
      </c>
      <c r="F3" s="2"/>
      <c r="G3" s="2"/>
      <c r="H3" s="2"/>
      <c r="I3" s="2"/>
      <c r="J3" s="2"/>
      <c r="K3" s="2"/>
    </row>
    <row r="4" customFormat="false" ht="15" hidden="false" customHeight="true" outlineLevel="0" collapsed="false">
      <c r="A4" s="2"/>
      <c r="B4" s="7" t="s">
        <v>476</v>
      </c>
      <c r="C4" s="17" t="n">
        <f aca="false">SUM(CapEx!C4:J4)+Assumptions!$C$58</f>
        <v>2340000</v>
      </c>
      <c r="D4" s="17" t="n">
        <f aca="false">Assumptions!$C$57</f>
        <v>2340000</v>
      </c>
      <c r="E4" s="15" t="str">
        <f aca="false">IF(ABS(C4-D4)&lt;1,"PASS","FAIL")</f>
        <v>PASS</v>
      </c>
      <c r="F4" s="2"/>
      <c r="G4" s="2"/>
      <c r="H4" s="2"/>
      <c r="I4" s="2"/>
      <c r="J4" s="2"/>
      <c r="K4" s="2"/>
    </row>
    <row r="5" customFormat="false" ht="15" hidden="false" customHeight="true" outlineLevel="0" collapsed="false">
      <c r="A5" s="2"/>
      <c r="B5" s="7" t="s">
        <v>477</v>
      </c>
      <c r="C5" s="17" t="n">
        <f aca="false">SUM(CashFlow!C13:J13)+SUM(CashFlow!C14:J14)</f>
        <v>1204906.60244406</v>
      </c>
      <c r="D5" s="17" t="n">
        <f aca="false">Assumptions!$C$57</f>
        <v>2340000</v>
      </c>
      <c r="E5" s="15" t="str">
        <f aca="false">IF(C5&lt;=D5+1,"PASS","FAIL")</f>
        <v>PASS</v>
      </c>
      <c r="F5" s="2"/>
      <c r="G5" s="2"/>
      <c r="H5" s="2"/>
      <c r="I5" s="2"/>
      <c r="J5" s="2"/>
      <c r="K5" s="2"/>
    </row>
    <row r="6" customFormat="false" ht="15" hidden="false" customHeight="true" outlineLevel="0" collapsed="false">
      <c r="A6" s="2"/>
      <c r="B6" s="7" t="s">
        <v>478</v>
      </c>
      <c r="C6" s="17" t="n">
        <f aca="false">MIN(CashFlow!C17:J17)</f>
        <v>100000</v>
      </c>
      <c r="D6" s="17" t="n">
        <f aca="false">Assumptions!$C$59</f>
        <v>100000</v>
      </c>
      <c r="E6" s="15" t="str">
        <f aca="false">IF(C6&gt;=D6-1,"PASS","FAIL")</f>
        <v>PASS</v>
      </c>
      <c r="F6" s="2"/>
      <c r="G6" s="2"/>
      <c r="H6" s="2"/>
      <c r="I6" s="2"/>
      <c r="J6" s="2"/>
      <c r="K6" s="2"/>
    </row>
    <row r="7" customFormat="false" ht="15" hidden="false" customHeight="true" outlineLevel="0" collapsed="false">
      <c r="A7" s="2"/>
      <c r="B7" s="7" t="s">
        <v>479</v>
      </c>
      <c r="C7" s="17" t="n">
        <f aca="false">Funding!C16</f>
        <v>2340000</v>
      </c>
      <c r="D7" s="17" t="n">
        <f aca="false">Assumptions!$C$57</f>
        <v>2340000</v>
      </c>
      <c r="E7" s="15" t="str">
        <f aca="false">IF(ABS(C7-D7)&lt;1,"PASS","FAIL")</f>
        <v>PASS</v>
      </c>
      <c r="F7" s="2"/>
      <c r="G7" s="2"/>
      <c r="H7" s="2"/>
      <c r="I7" s="2"/>
      <c r="J7" s="2"/>
      <c r="K7" s="2"/>
    </row>
    <row r="8" customFormat="false" ht="15" hidden="false" customHeight="true" outlineLevel="0" collapsed="false">
      <c r="A8" s="2"/>
      <c r="B8" s="7" t="s">
        <v>480</v>
      </c>
      <c r="C8" s="17" t="n">
        <f aca="false">PnL!H6</f>
        <v>1967036.48030081</v>
      </c>
      <c r="D8" s="17" t="n">
        <v>0</v>
      </c>
      <c r="E8" s="15" t="str">
        <f aca="false">IF(C8&gt;0,"PASS","FAIL")</f>
        <v>PASS</v>
      </c>
      <c r="F8" s="2"/>
      <c r="G8" s="2"/>
      <c r="H8" s="2"/>
      <c r="I8" s="2"/>
      <c r="J8" s="2"/>
      <c r="K8" s="2"/>
    </row>
    <row r="9" customFormat="false" ht="15" hidden="false" customHeight="true" outlineLevel="0" collapsed="false">
      <c r="A9" s="2"/>
      <c r="B9" s="7" t="s">
        <v>481</v>
      </c>
      <c r="C9" s="17" t="n">
        <f aca="false">SUM(CashFlow!C14:J14)</f>
        <v>504906.602444059</v>
      </c>
      <c r="D9" s="17" t="n">
        <f aca="false">Assumptions!$C$57-Assumptions!$C$60</f>
        <v>1640000</v>
      </c>
      <c r="E9" s="15" t="str">
        <f aca="false">IF(C9&lt;D9,"PASS","FAIL")</f>
        <v>PASS</v>
      </c>
      <c r="F9" s="2"/>
      <c r="G9" s="2"/>
      <c r="H9" s="2"/>
      <c r="I9" s="2"/>
      <c r="J9" s="2"/>
      <c r="K9" s="2"/>
    </row>
    <row r="10" customFormat="false" ht="15" hidden="false" customHeight="true" outlineLevel="0" collapsed="false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customFormat="false" ht="15" hidden="false" customHeight="tru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</sheetData>
  <mergeCells count="1">
    <mergeCell ref="B1:J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LibreOffice/26.2.3.2$MacOSX_AARCH64 LibreOffice_project/70e089b17412e4cb7773e41413306b17a2328c34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2026-06-25T03:33:34Z</dcterms:created>
  <dc:creator>openpyxl</dc:creator>
  <dc:description/>
  <dc:language>en-US</dc:language>
  <cp:lastModifiedBy>olga sytnyk</cp:lastModifiedBy>
  <dcterms:modified xsi:type="dcterms:W3CDTF">2026-06-26T00:19:18Z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